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Barry Malmberg\OneDrive - NCASI\Work\Desktop 9-24-18\Emission Factor Directory\NCASI GHG Calculation Tools\1.0 and 1.1 WP\V 1.1\"/>
    </mc:Choice>
  </mc:AlternateContent>
  <xr:revisionPtr revIDLastSave="0" documentId="13_ncr:1_{D3074DC7-45AE-4E8F-86A9-CF64D0DE9CCF}" xr6:coauthVersionLast="47" xr6:coauthVersionMax="47" xr10:uidLastSave="{00000000-0000-0000-0000-000000000000}"/>
  <bookViews>
    <workbookView xWindow="-108" yWindow="-108" windowWidth="23256" windowHeight="14616" tabRatio="886" xr2:uid="{00000000-000D-0000-FFFF-FFFF00000000}"/>
  </bookViews>
  <sheets>
    <sheet name="Introduction" sheetId="1" r:id="rId1"/>
    <sheet name="Table of Contents" sheetId="2" r:id="rId2"/>
    <sheet name="Operations in Inventory" sheetId="3" r:id="rId3"/>
    <sheet name="Direct - Fuel Combust." sheetId="4" r:id="rId4"/>
    <sheet name="Mobile &amp; Transportation" sheetId="5" r:id="rId5"/>
    <sheet name="Waste Mngmt." sheetId="6" r:id="rId6"/>
    <sheet name="CHP Allocation" sheetId="8" r:id="rId7"/>
    <sheet name="Indirect - Energy Imports" sheetId="17" r:id="rId8"/>
    <sheet name="Indirect - Energy Exports" sheetId="18" r:id="rId9"/>
    <sheet name="Summary Table" sheetId="19" r:id="rId10"/>
    <sheet name="Custom Emission Factors" sheetId="13" r:id="rId11"/>
    <sheet name="Energy content" sheetId="14" r:id="rId12"/>
    <sheet name="Conversion Factors" sheetId="15" r:id="rId13"/>
    <sheet name="Biomass Combustion CO2" sheetId="16" r:id="rId14"/>
    <sheet name="GWPs" sheetId="20" r:id="rId15"/>
    <sheet name="Revisions" sheetId="21" r:id="rId16"/>
  </sheets>
  <externalReferences>
    <externalReference r:id="rId17"/>
  </externalReferences>
  <definedNames>
    <definedName name="CO2perGJ_jet">#REF!</definedName>
    <definedName name="D1_Air">#REF!</definedName>
    <definedName name="D1_Air_total">#REF!</definedName>
    <definedName name="D1_Boat">#REF!</definedName>
    <definedName name="D1_Boat_total">#REF!</definedName>
    <definedName name="D1_Rail">#REF!</definedName>
    <definedName name="D1_Rail_total">#REF!</definedName>
    <definedName name="D1_Road">#REF!</definedName>
    <definedName name="D1_Road_total">#REF!</definedName>
    <definedName name="DirectPart1">#REF!</definedName>
    <definedName name="get_dieselgperkm">[1]Reference!$E$196:$J$259</definedName>
    <definedName name="get_gasgperkm">[1]Reference!$E$196:$I$259</definedName>
    <definedName name="Gjperton_jet">#REF!</definedName>
    <definedName name="GWP_CH4">Introduction!$F$20</definedName>
    <definedName name="GWP_CH4_AR5">GWPs!$K$5</definedName>
    <definedName name="GWP_CH4_AR6">GWPs!$L$5</definedName>
    <definedName name="GWP_CH4_Fossil_AR6">GWPs!$L$6</definedName>
    <definedName name="GWP_N2O">Introduction!$F$21</definedName>
    <definedName name="GWP_N2O_AR5">GWPs!$K$8</definedName>
    <definedName name="GWP_N2O_AR6">GWPs!$L$8</definedName>
    <definedName name="In2_Air">#REF!</definedName>
    <definedName name="In2_Air_total">#REF!</definedName>
    <definedName name="In2_Boat">#REF!</definedName>
    <definedName name="In2_Boat_total">#REF!</definedName>
    <definedName name="In2_Rail">#REF!</definedName>
    <definedName name="In2_Rail_total">#REF!</definedName>
    <definedName name="IN2_Road_total">#REF!</definedName>
    <definedName name="kmper_nm">#REF!</definedName>
    <definedName name="line_type">#REF!</definedName>
    <definedName name="_xlnm.Print_Area" localSheetId="13">'Biomass Combustion CO2'!$B$3:$G$9,'Biomass Combustion CO2'!$B$18:$N$37</definedName>
    <definedName name="_xlnm.Print_Area" localSheetId="6">'CHP Allocation'!$B$12:$R$27</definedName>
    <definedName name="_xlnm.Print_Area" localSheetId="3">'Direct - Fuel Combust.'!$B$12:$M$36</definedName>
    <definedName name="_xlnm.Print_Area" localSheetId="11">'Energy content'!$A$2:$G$36</definedName>
    <definedName name="_xlnm.Print_Area" localSheetId="8">'Indirect - Energy Exports'!$B$11:$L$34</definedName>
    <definedName name="_xlnm.Print_Area" localSheetId="7">'Indirect - Energy Imports'!$B$9:$L$32</definedName>
    <definedName name="_xlnm.Print_Area" localSheetId="0">Introduction!$B$1:$K$29</definedName>
    <definedName name="_xlnm.Print_Area" localSheetId="4">'Mobile &amp; Transportation'!$B$11:$P$71,'Mobile &amp; Transportation'!$B$73:$P$108</definedName>
    <definedName name="_xlnm.Print_Area" localSheetId="2">'Operations in Inventory'!$B$5:$H$46</definedName>
    <definedName name="_xlnm.Print_Area" localSheetId="9">'Summary Table'!$B$3:$J$32</definedName>
    <definedName name="_xlnm.Print_Area" localSheetId="5">'Waste Mngmt.'!$B$48:$Q$74</definedName>
    <definedName name="_xlnm.Print_Area">#REF!</definedName>
    <definedName name="_xlnm.Print_Titles">#REF!</definedName>
    <definedName name="Z_E748B311_90F6_4A4B_A4FB_821E74008EC3_.wvu.Cols" localSheetId="2" hidden="1">'Operations in Inventory'!$C:$E</definedName>
    <definedName name="Z_E748B311_90F6_4A4B_A4FB_821E74008EC3_.wvu.PrintArea" localSheetId="13" hidden="1">'Biomass Combustion CO2'!$B$3:$G$9,'Biomass Combustion CO2'!$B$18:$N$38,'Biomass Combustion CO2'!#REF!</definedName>
    <definedName name="Z_E748B311_90F6_4A4B_A4FB_821E74008EC3_.wvu.PrintArea" localSheetId="6" hidden="1">'CHP Allocation'!$B$12:$R$27</definedName>
    <definedName name="Z_E748B311_90F6_4A4B_A4FB_821E74008EC3_.wvu.PrintArea" localSheetId="3" hidden="1">'Direct - Fuel Combust.'!$B$12:$M$36</definedName>
    <definedName name="Z_E748B311_90F6_4A4B_A4FB_821E74008EC3_.wvu.PrintArea" localSheetId="11" hidden="1">'Energy content'!$A$2:$G$36</definedName>
    <definedName name="Z_E748B311_90F6_4A4B_A4FB_821E74008EC3_.wvu.PrintArea" localSheetId="8" hidden="1">'Indirect - Energy Exports'!$B$11:$K$34</definedName>
    <definedName name="Z_E748B311_90F6_4A4B_A4FB_821E74008EC3_.wvu.PrintArea" localSheetId="7" hidden="1">'Indirect - Energy Imports'!$B$9:$L$32</definedName>
    <definedName name="Z_E748B311_90F6_4A4B_A4FB_821E74008EC3_.wvu.PrintArea" localSheetId="0" hidden="1">Introduction!$B$1:$K$29</definedName>
    <definedName name="Z_E748B311_90F6_4A4B_A4FB_821E74008EC3_.wvu.PrintArea" localSheetId="4" hidden="1">'Mobile &amp; Transportation'!$B$12:$N$70,'Mobile &amp; Transportation'!#REF!,'Mobile &amp; Transportation'!$B$73:$L$108</definedName>
    <definedName name="Z_E748B311_90F6_4A4B_A4FB_821E74008EC3_.wvu.PrintArea" localSheetId="2" hidden="1">'Operations in Inventory'!$B$5:$H$46</definedName>
    <definedName name="Z_E748B311_90F6_4A4B_A4FB_821E74008EC3_.wvu.PrintArea" localSheetId="9" hidden="1">'Summary Table'!$B$3:$J$27</definedName>
    <definedName name="Z_E748B311_90F6_4A4B_A4FB_821E74008EC3_.wvu.PrintArea" localSheetId="1" hidden="1">'Table of Contents'!$B$2:$H$19</definedName>
    <definedName name="Z_E748B311_90F6_4A4B_A4FB_821E74008EC3_.wvu.PrintArea" localSheetId="5" hidden="1">'Waste Mngmt.'!$B$13:$Q$56,'Waste Mngmt.'!$C$62:$F$116,'Waste Mngmt.'!$B$123:$L$158</definedName>
    <definedName name="Z_E748B311_90F6_4A4B_A4FB_821E74008EC3_.wvu.Rows" localSheetId="4" hidden="1">'Mobile &amp; Transportation'!$69:$69</definedName>
  </definedNames>
  <calcPr calcId="191029"/>
  <customWorkbookViews>
    <customWorkbookView name="Brad Upton - Personal View" guid="{E748B311-90F6-4A4B-A4FB-821E74008EC3}" mergeInterval="0" personalView="1" maximized="1" windowWidth="1020" windowHeight="604" tabRatio="88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6" l="1"/>
  <c r="I57" i="6" s="1"/>
  <c r="C66" i="6" s="1"/>
  <c r="L31" i="18"/>
  <c r="L30" i="18"/>
  <c r="L29" i="18"/>
  <c r="L28" i="18"/>
  <c r="L27" i="18"/>
  <c r="L26" i="18"/>
  <c r="L25" i="18"/>
  <c r="L24" i="18"/>
  <c r="L23" i="18"/>
  <c r="F21" i="1"/>
  <c r="F20" i="1"/>
  <c r="I25" i="16"/>
  <c r="J25" i="16" s="1"/>
  <c r="I26" i="16"/>
  <c r="J26" i="16" s="1"/>
  <c r="I27" i="16"/>
  <c r="J27" i="16" s="1"/>
  <c r="I28" i="16"/>
  <c r="J28" i="16" s="1"/>
  <c r="I29" i="16"/>
  <c r="J29" i="16" s="1"/>
  <c r="I30" i="16"/>
  <c r="J30" i="16" s="1"/>
  <c r="I31" i="16"/>
  <c r="J31" i="16" s="1"/>
  <c r="K22" i="6"/>
  <c r="L22" i="6" s="1"/>
  <c r="K23" i="6"/>
  <c r="L23" i="6" s="1"/>
  <c r="N23" i="6" s="1"/>
  <c r="K24" i="6"/>
  <c r="L24" i="6"/>
  <c r="N24" i="6" s="1"/>
  <c r="K25" i="6"/>
  <c r="L25" i="6" s="1"/>
  <c r="K26" i="6"/>
  <c r="L26" i="6" s="1"/>
  <c r="K38" i="6"/>
  <c r="O38" i="6" s="1"/>
  <c r="P38" i="6" s="1"/>
  <c r="K39" i="6"/>
  <c r="O39" i="6" s="1"/>
  <c r="P39" i="6" s="1"/>
  <c r="K40" i="6"/>
  <c r="O40" i="6" s="1"/>
  <c r="P40" i="6" s="1"/>
  <c r="K41" i="6"/>
  <c r="O41" i="6" s="1"/>
  <c r="P41" i="6" s="1"/>
  <c r="Q41" i="6" s="1"/>
  <c r="K42" i="6"/>
  <c r="O42" i="6" s="1"/>
  <c r="P42" i="6" s="1"/>
  <c r="J132" i="6"/>
  <c r="K132" i="6" s="1"/>
  <c r="J133" i="6"/>
  <c r="K133" i="6" s="1"/>
  <c r="J134" i="6"/>
  <c r="K134" i="6"/>
  <c r="J135" i="6"/>
  <c r="K135" i="6" s="1"/>
  <c r="L135" i="6" s="1"/>
  <c r="J136" i="6"/>
  <c r="K136" i="6" s="1"/>
  <c r="I147" i="6"/>
  <c r="J147" i="6" s="1"/>
  <c r="L147" i="6" s="1"/>
  <c r="I148" i="6"/>
  <c r="J148" i="6" s="1"/>
  <c r="I149" i="6"/>
  <c r="J149" i="6" s="1"/>
  <c r="K149" i="6" s="1"/>
  <c r="I150" i="6"/>
  <c r="J150" i="6" s="1"/>
  <c r="I151" i="6"/>
  <c r="J151" i="6" s="1"/>
  <c r="K151" i="6" s="1"/>
  <c r="O84" i="5"/>
  <c r="O85" i="5"/>
  <c r="O86" i="5"/>
  <c r="O87" i="5"/>
  <c r="O88" i="5"/>
  <c r="O89" i="5"/>
  <c r="O90" i="5"/>
  <c r="O91" i="5"/>
  <c r="O92" i="5"/>
  <c r="O93" i="5"/>
  <c r="O94" i="5"/>
  <c r="O95" i="5"/>
  <c r="O96" i="5"/>
  <c r="O97" i="5"/>
  <c r="N84" i="5"/>
  <c r="N85" i="5"/>
  <c r="N86" i="5"/>
  <c r="N87" i="5"/>
  <c r="N88" i="5"/>
  <c r="N89" i="5"/>
  <c r="N90" i="5"/>
  <c r="N91" i="5"/>
  <c r="N92" i="5"/>
  <c r="N93" i="5"/>
  <c r="N94" i="5"/>
  <c r="N95" i="5"/>
  <c r="N96" i="5"/>
  <c r="N97" i="5"/>
  <c r="K22" i="5"/>
  <c r="O22" i="5" s="1"/>
  <c r="K23" i="5"/>
  <c r="N23" i="5" s="1"/>
  <c r="K24" i="5"/>
  <c r="O24" i="5" s="1"/>
  <c r="K25" i="5"/>
  <c r="O25" i="5"/>
  <c r="K26" i="5"/>
  <c r="O26" i="5" s="1"/>
  <c r="K27" i="5"/>
  <c r="O27" i="5" s="1"/>
  <c r="K28" i="5"/>
  <c r="O28" i="5" s="1"/>
  <c r="K29" i="5"/>
  <c r="O29" i="5" s="1"/>
  <c r="K30" i="5"/>
  <c r="O30" i="5" s="1"/>
  <c r="K31" i="5"/>
  <c r="O31" i="5" s="1"/>
  <c r="K32" i="5"/>
  <c r="O32" i="5" s="1"/>
  <c r="K33" i="5"/>
  <c r="O33" i="5" s="1"/>
  <c r="K34" i="5"/>
  <c r="N34" i="5" s="1"/>
  <c r="K35" i="5"/>
  <c r="O35" i="5" s="1"/>
  <c r="K36" i="5"/>
  <c r="O36" i="5" s="1"/>
  <c r="K38" i="5"/>
  <c r="O38" i="5" s="1"/>
  <c r="K39" i="5"/>
  <c r="O39" i="5" s="1"/>
  <c r="K40" i="5"/>
  <c r="O40" i="5" s="1"/>
  <c r="K41" i="5"/>
  <c r="O41" i="5" s="1"/>
  <c r="K42" i="5"/>
  <c r="O42" i="5" s="1"/>
  <c r="K43" i="5"/>
  <c r="O43" i="5" s="1"/>
  <c r="K44" i="5"/>
  <c r="O44" i="5" s="1"/>
  <c r="K45" i="5"/>
  <c r="O45" i="5" s="1"/>
  <c r="K46" i="5"/>
  <c r="O46" i="5" s="1"/>
  <c r="K47" i="5"/>
  <c r="N47" i="5" s="1"/>
  <c r="K48" i="5"/>
  <c r="O48" i="5" s="1"/>
  <c r="K49" i="5"/>
  <c r="O49" i="5" s="1"/>
  <c r="K50" i="5"/>
  <c r="O50" i="5" s="1"/>
  <c r="K51" i="5"/>
  <c r="O51" i="5" s="1"/>
  <c r="K52" i="5"/>
  <c r="O52" i="5" s="1"/>
  <c r="K54" i="5"/>
  <c r="O54" i="5" s="1"/>
  <c r="K55" i="5"/>
  <c r="O55" i="5" s="1"/>
  <c r="K56" i="5"/>
  <c r="O56" i="5" s="1"/>
  <c r="K57" i="5"/>
  <c r="O57" i="5" s="1"/>
  <c r="K58" i="5"/>
  <c r="O58" i="5" s="1"/>
  <c r="K59" i="5"/>
  <c r="N59" i="5" s="1"/>
  <c r="K60" i="5"/>
  <c r="N60" i="5" s="1"/>
  <c r="K61" i="5"/>
  <c r="O61" i="5"/>
  <c r="K62" i="5"/>
  <c r="O62" i="5" s="1"/>
  <c r="K63" i="5"/>
  <c r="O63" i="5" s="1"/>
  <c r="K64" i="5"/>
  <c r="K65" i="5"/>
  <c r="O65" i="5" s="1"/>
  <c r="K66" i="5"/>
  <c r="O66" i="5" s="1"/>
  <c r="K67" i="5"/>
  <c r="O67" i="5" s="1"/>
  <c r="K68" i="5"/>
  <c r="M84" i="5"/>
  <c r="M85" i="5"/>
  <c r="M86" i="5"/>
  <c r="M87" i="5"/>
  <c r="M88" i="5"/>
  <c r="M89" i="5"/>
  <c r="M90" i="5"/>
  <c r="M91" i="5"/>
  <c r="M92" i="5"/>
  <c r="M93" i="5"/>
  <c r="M94" i="5"/>
  <c r="M95" i="5"/>
  <c r="M96" i="5"/>
  <c r="M97" i="5"/>
  <c r="J18" i="17"/>
  <c r="J19" i="17"/>
  <c r="J20" i="17"/>
  <c r="J21" i="17"/>
  <c r="J22" i="17"/>
  <c r="J23" i="17"/>
  <c r="J24" i="17"/>
  <c r="J25" i="17"/>
  <c r="J26" i="17"/>
  <c r="J27" i="17"/>
  <c r="I18" i="17"/>
  <c r="I19" i="17"/>
  <c r="I20" i="17"/>
  <c r="I21" i="17"/>
  <c r="I22" i="17"/>
  <c r="I23" i="17"/>
  <c r="I24" i="17"/>
  <c r="I25" i="17"/>
  <c r="I26" i="17"/>
  <c r="I27" i="17"/>
  <c r="H18" i="17"/>
  <c r="H19" i="17"/>
  <c r="H20" i="17"/>
  <c r="H21" i="17"/>
  <c r="H22" i="17"/>
  <c r="H23" i="17"/>
  <c r="H24" i="17"/>
  <c r="H25" i="17"/>
  <c r="H26" i="17"/>
  <c r="H27" i="17"/>
  <c r="L84" i="5"/>
  <c r="L85" i="5"/>
  <c r="L86" i="5"/>
  <c r="L87" i="5"/>
  <c r="L88" i="5"/>
  <c r="L89" i="5"/>
  <c r="L90" i="5"/>
  <c r="L91" i="5"/>
  <c r="L92" i="5"/>
  <c r="L93" i="5"/>
  <c r="L94" i="5"/>
  <c r="L95" i="5"/>
  <c r="L96" i="5"/>
  <c r="L97" i="5"/>
  <c r="K84" i="5"/>
  <c r="K85" i="5"/>
  <c r="K86" i="5"/>
  <c r="K87" i="5"/>
  <c r="K88" i="5"/>
  <c r="K89" i="5"/>
  <c r="K90" i="5"/>
  <c r="K91" i="5"/>
  <c r="K92" i="5"/>
  <c r="K93" i="5"/>
  <c r="K94" i="5"/>
  <c r="K95" i="5"/>
  <c r="K96" i="5"/>
  <c r="K97" i="5"/>
  <c r="N24" i="5"/>
  <c r="N25" i="5"/>
  <c r="N29" i="5"/>
  <c r="N31" i="5"/>
  <c r="N39" i="5"/>
  <c r="N40" i="5"/>
  <c r="N41" i="5"/>
  <c r="N49" i="5"/>
  <c r="N61" i="5"/>
  <c r="N62" i="5"/>
  <c r="N67" i="5"/>
  <c r="J84" i="5"/>
  <c r="J85" i="5"/>
  <c r="J86" i="5"/>
  <c r="J87" i="5"/>
  <c r="J88" i="5"/>
  <c r="J89" i="5"/>
  <c r="J90" i="5"/>
  <c r="J91" i="5"/>
  <c r="J92" i="5"/>
  <c r="J93" i="5"/>
  <c r="J94" i="5"/>
  <c r="J95" i="5"/>
  <c r="J96" i="5"/>
  <c r="J97" i="5"/>
  <c r="K23" i="18"/>
  <c r="K24" i="18"/>
  <c r="K25" i="18"/>
  <c r="K26" i="18"/>
  <c r="K27" i="18"/>
  <c r="K28" i="18"/>
  <c r="K29" i="18"/>
  <c r="K30" i="18"/>
  <c r="K31" i="18"/>
  <c r="J23" i="18"/>
  <c r="J24" i="18"/>
  <c r="J25" i="18"/>
  <c r="J26" i="18"/>
  <c r="J27" i="18"/>
  <c r="J33" i="18" s="1"/>
  <c r="G11" i="19" s="1"/>
  <c r="J28" i="18"/>
  <c r="J29" i="18"/>
  <c r="J30" i="18"/>
  <c r="J31" i="18"/>
  <c r="I23" i="18"/>
  <c r="I24" i="18"/>
  <c r="I25" i="18"/>
  <c r="I26" i="18"/>
  <c r="I27" i="18"/>
  <c r="I28" i="18"/>
  <c r="I29" i="18"/>
  <c r="I30" i="18"/>
  <c r="I31" i="18"/>
  <c r="K20" i="4"/>
  <c r="K21" i="4"/>
  <c r="K22" i="4"/>
  <c r="K23" i="4"/>
  <c r="K24" i="4"/>
  <c r="K25" i="4"/>
  <c r="K26" i="4"/>
  <c r="K27" i="4"/>
  <c r="K28" i="4"/>
  <c r="K29" i="4"/>
  <c r="K30" i="4"/>
  <c r="K31" i="4"/>
  <c r="K32" i="4"/>
  <c r="K33" i="4"/>
  <c r="J20" i="4"/>
  <c r="J21" i="4"/>
  <c r="J22" i="4"/>
  <c r="J23" i="4"/>
  <c r="J24" i="4"/>
  <c r="J25" i="4"/>
  <c r="J26" i="4"/>
  <c r="J27" i="4"/>
  <c r="J28" i="4"/>
  <c r="J29" i="4"/>
  <c r="J30" i="4"/>
  <c r="J31" i="4"/>
  <c r="J32" i="4"/>
  <c r="J33" i="4"/>
  <c r="I20" i="4"/>
  <c r="I21" i="4"/>
  <c r="I22" i="4"/>
  <c r="I23" i="4"/>
  <c r="I24" i="4"/>
  <c r="I25" i="4"/>
  <c r="I26" i="4"/>
  <c r="I27" i="4"/>
  <c r="I28" i="4"/>
  <c r="I29" i="4"/>
  <c r="I30" i="4"/>
  <c r="I31" i="4"/>
  <c r="I32" i="4"/>
  <c r="I33" i="4"/>
  <c r="F6" i="19"/>
  <c r="F4" i="19"/>
  <c r="I145" i="6"/>
  <c r="J145" i="6" s="1"/>
  <c r="J130" i="6"/>
  <c r="K130" i="6" s="1"/>
  <c r="K36" i="6"/>
  <c r="O36" i="6" s="1"/>
  <c r="P36" i="6" s="1"/>
  <c r="R36" i="6" s="1"/>
  <c r="K20" i="6"/>
  <c r="L20" i="6" s="1"/>
  <c r="N82" i="5"/>
  <c r="O82" i="5"/>
  <c r="M82" i="5"/>
  <c r="K82" i="5"/>
  <c r="L82" i="5"/>
  <c r="J82" i="5"/>
  <c r="K18" i="4"/>
  <c r="J18" i="4"/>
  <c r="I18" i="4"/>
  <c r="I23" i="16"/>
  <c r="J23" i="16" s="1"/>
  <c r="K21" i="5"/>
  <c r="O21" i="5" s="1"/>
  <c r="F18" i="13"/>
  <c r="F19" i="13"/>
  <c r="F20" i="13"/>
  <c r="F21" i="13"/>
  <c r="F22" i="13"/>
  <c r="I21" i="8"/>
  <c r="J21" i="8"/>
  <c r="L21" i="8"/>
  <c r="M21" i="8" s="1"/>
  <c r="N21" i="8"/>
  <c r="P21" i="8" s="1"/>
  <c r="I22" i="8"/>
  <c r="J22" i="8"/>
  <c r="I23" i="8"/>
  <c r="J23" i="8"/>
  <c r="L23" i="8"/>
  <c r="M23" i="8"/>
  <c r="N23" i="8"/>
  <c r="O23" i="8" s="1"/>
  <c r="Q23" i="8" s="1"/>
  <c r="I24" i="8"/>
  <c r="J24" i="8"/>
  <c r="L24" i="8"/>
  <c r="M24" i="8" s="1"/>
  <c r="N24" i="8"/>
  <c r="O24" i="8" s="1"/>
  <c r="Q24" i="8" s="1"/>
  <c r="I25" i="8"/>
  <c r="J25" i="8"/>
  <c r="L25" i="8"/>
  <c r="M25" i="8" s="1"/>
  <c r="N25" i="8"/>
  <c r="O25" i="8" s="1"/>
  <c r="Q25" i="8" s="1"/>
  <c r="P13" i="5"/>
  <c r="Q19" i="5"/>
  <c r="R19" i="5"/>
  <c r="Q20" i="5"/>
  <c r="M135" i="6"/>
  <c r="R41" i="6"/>
  <c r="M23" i="6"/>
  <c r="L149" i="6"/>
  <c r="N56" i="5"/>
  <c r="K147" i="6"/>
  <c r="N55" i="5"/>
  <c r="N45" i="5"/>
  <c r="N36" i="5"/>
  <c r="N28" i="5"/>
  <c r="N35" i="5"/>
  <c r="N27" i="5"/>
  <c r="C65" i="6" l="1"/>
  <c r="H61" i="6" s="1"/>
  <c r="H60" i="6" s="1"/>
  <c r="H59" i="6" s="1"/>
  <c r="H58" i="6" s="1"/>
  <c r="K33" i="18"/>
  <c r="H11" i="19" s="1"/>
  <c r="O21" i="8"/>
  <c r="Q21" i="8" s="1"/>
  <c r="L132" i="6"/>
  <c r="M132" i="6"/>
  <c r="Q39" i="6"/>
  <c r="R39" i="6"/>
  <c r="M130" i="6"/>
  <c r="L130" i="6"/>
  <c r="M24" i="6"/>
  <c r="L151" i="6"/>
  <c r="N58" i="5"/>
  <c r="N42" i="5"/>
  <c r="O100" i="5"/>
  <c r="N107" i="5" s="1"/>
  <c r="H22" i="19" s="1"/>
  <c r="K37" i="5"/>
  <c r="N33" i="5"/>
  <c r="O59" i="5"/>
  <c r="N50" i="5"/>
  <c r="N54" i="5"/>
  <c r="N63" i="5"/>
  <c r="N38" i="5"/>
  <c r="M100" i="5"/>
  <c r="N100" i="5"/>
  <c r="M107" i="5" s="1"/>
  <c r="G22" i="19" s="1"/>
  <c r="N66" i="5"/>
  <c r="N48" i="5"/>
  <c r="N32" i="5"/>
  <c r="N44" i="5"/>
  <c r="O60" i="5"/>
  <c r="N52" i="5"/>
  <c r="K20" i="5"/>
  <c r="N65" i="5"/>
  <c r="N46" i="5"/>
  <c r="N26" i="5"/>
  <c r="J35" i="4"/>
  <c r="G9" i="19" s="1"/>
  <c r="K35" i="4"/>
  <c r="H9" i="19" s="1"/>
  <c r="L18" i="4"/>
  <c r="G63" i="4"/>
  <c r="L27" i="4"/>
  <c r="G64" i="4"/>
  <c r="G44" i="4"/>
  <c r="G57" i="4"/>
  <c r="L28" i="4"/>
  <c r="G65" i="4"/>
  <c r="G45" i="4"/>
  <c r="G72" i="4"/>
  <c r="AB80" i="5"/>
  <c r="G46" i="4"/>
  <c r="L20" i="4"/>
  <c r="AB90" i="5"/>
  <c r="G53" i="4"/>
  <c r="G54" i="4"/>
  <c r="L26" i="4"/>
  <c r="G47" i="4"/>
  <c r="G58" i="4"/>
  <c r="G66" i="4"/>
  <c r="L21" i="4"/>
  <c r="L29" i="4"/>
  <c r="AB81" i="5"/>
  <c r="G49" i="4"/>
  <c r="G59" i="4"/>
  <c r="G67" i="4"/>
  <c r="L22" i="4"/>
  <c r="L30" i="4"/>
  <c r="AB82" i="5"/>
  <c r="I11" i="19"/>
  <c r="G50" i="4"/>
  <c r="G60" i="4"/>
  <c r="G68" i="4"/>
  <c r="L23" i="4"/>
  <c r="L31" i="4"/>
  <c r="AB83" i="5"/>
  <c r="G51" i="4"/>
  <c r="G61" i="4"/>
  <c r="G69" i="4"/>
  <c r="L24" i="4"/>
  <c r="L32" i="4"/>
  <c r="AB86" i="5"/>
  <c r="G52" i="4"/>
  <c r="G62" i="4"/>
  <c r="G71" i="4"/>
  <c r="L25" i="4"/>
  <c r="L33" i="4"/>
  <c r="AB87" i="5"/>
  <c r="L136" i="6"/>
  <c r="M136" i="6"/>
  <c r="I35" i="4"/>
  <c r="F9" i="19" s="1"/>
  <c r="N26" i="6"/>
  <c r="M26" i="6"/>
  <c r="I29" i="17"/>
  <c r="G20" i="19" s="1"/>
  <c r="K53" i="5"/>
  <c r="O64" i="5"/>
  <c r="O53" i="5" s="1"/>
  <c r="N64" i="5"/>
  <c r="N25" i="6"/>
  <c r="M25" i="6"/>
  <c r="I33" i="18"/>
  <c r="F11" i="19" s="1"/>
  <c r="J29" i="17"/>
  <c r="H20" i="19" s="1"/>
  <c r="O68" i="5"/>
  <c r="N68" i="5"/>
  <c r="L134" i="6"/>
  <c r="M134" i="6"/>
  <c r="Q40" i="6"/>
  <c r="R40" i="6"/>
  <c r="L145" i="6"/>
  <c r="K145" i="6"/>
  <c r="L150" i="6"/>
  <c r="K150" i="6"/>
  <c r="M133" i="6"/>
  <c r="L133" i="6"/>
  <c r="L138" i="6" s="1"/>
  <c r="M20" i="6"/>
  <c r="N20" i="6"/>
  <c r="K100" i="5"/>
  <c r="J107" i="5" s="1"/>
  <c r="G13" i="19" s="1"/>
  <c r="L100" i="5"/>
  <c r="K107" i="5" s="1"/>
  <c r="H13" i="19" s="1"/>
  <c r="K148" i="6"/>
  <c r="L148" i="6"/>
  <c r="N22" i="6"/>
  <c r="M22" i="6"/>
  <c r="Q36" i="6"/>
  <c r="H29" i="17"/>
  <c r="F20" i="19" s="1"/>
  <c r="R38" i="6"/>
  <c r="Q38" i="6"/>
  <c r="J57" i="6"/>
  <c r="J100" i="5"/>
  <c r="Q42" i="6"/>
  <c r="R42" i="6"/>
  <c r="J33" i="16"/>
  <c r="F31" i="19" s="1"/>
  <c r="P24" i="8"/>
  <c r="P23" i="8"/>
  <c r="N21" i="5"/>
  <c r="N57" i="5"/>
  <c r="N43" i="5"/>
  <c r="N22" i="5"/>
  <c r="O23" i="5"/>
  <c r="O20" i="5" s="1"/>
  <c r="P25" i="8"/>
  <c r="N51" i="5"/>
  <c r="N30" i="5"/>
  <c r="O47" i="5"/>
  <c r="O37" i="5" s="1"/>
  <c r="O34" i="5"/>
  <c r="J66" i="6" l="1"/>
  <c r="J65" i="6"/>
  <c r="I65" i="6"/>
  <c r="I61" i="6" s="1"/>
  <c r="I60" i="6" s="1"/>
  <c r="I59" i="6" s="1"/>
  <c r="I58" i="6" s="1"/>
  <c r="I20" i="19"/>
  <c r="M138" i="6"/>
  <c r="K153" i="6"/>
  <c r="J157" i="6" s="1"/>
  <c r="Q44" i="6"/>
  <c r="H26" i="19"/>
  <c r="H17" i="19"/>
  <c r="N37" i="5"/>
  <c r="N53" i="5"/>
  <c r="I9" i="19"/>
  <c r="L35" i="4"/>
  <c r="R44" i="6"/>
  <c r="O70" i="5"/>
  <c r="L107" i="5" s="1"/>
  <c r="F22" i="19" s="1"/>
  <c r="I22" i="19" s="1"/>
  <c r="N20" i="5"/>
  <c r="M28" i="6"/>
  <c r="K57" i="6"/>
  <c r="C67" i="6"/>
  <c r="N28" i="6"/>
  <c r="L153" i="6"/>
  <c r="K157" i="6" s="1"/>
  <c r="K65" i="6" l="1"/>
  <c r="K66" i="6"/>
  <c r="K67" i="6"/>
  <c r="N70" i="5"/>
  <c r="I107" i="5" s="1"/>
  <c r="F13" i="19" s="1"/>
  <c r="L57" i="6"/>
  <c r="C68" i="6"/>
  <c r="F26" i="19"/>
  <c r="J61" i="6"/>
  <c r="J60" i="6" s="1"/>
  <c r="J59" i="6" s="1"/>
  <c r="J58" i="6" s="1"/>
  <c r="L66" i="6" l="1"/>
  <c r="L67" i="6"/>
  <c r="L68" i="6"/>
  <c r="L65" i="6"/>
  <c r="I13" i="19"/>
  <c r="F17" i="19"/>
  <c r="M57" i="6"/>
  <c r="C69" i="6"/>
  <c r="K61" i="6"/>
  <c r="K60" i="6" s="1"/>
  <c r="K59" i="6" s="1"/>
  <c r="K58" i="6" s="1"/>
  <c r="M66" i="6" l="1"/>
  <c r="M65" i="6"/>
  <c r="M68" i="6"/>
  <c r="M67" i="6"/>
  <c r="M69" i="6"/>
  <c r="N57" i="6"/>
  <c r="C70" i="6"/>
  <c r="L61" i="6"/>
  <c r="L60" i="6" s="1"/>
  <c r="L59" i="6" s="1"/>
  <c r="L58" i="6" s="1"/>
  <c r="N67" i="6" l="1"/>
  <c r="N68" i="6"/>
  <c r="N69" i="6"/>
  <c r="N66" i="6"/>
  <c r="N70" i="6"/>
  <c r="N65" i="6"/>
  <c r="M61" i="6"/>
  <c r="M60" i="6" s="1"/>
  <c r="M59" i="6" s="1"/>
  <c r="M58" i="6" s="1"/>
  <c r="C71" i="6"/>
  <c r="O57" i="6"/>
  <c r="O69" i="6" l="1"/>
  <c r="O71" i="6"/>
  <c r="O65" i="6"/>
  <c r="O66" i="6"/>
  <c r="O67" i="6"/>
  <c r="O70" i="6"/>
  <c r="O68" i="6"/>
  <c r="N61" i="6"/>
  <c r="N60" i="6" s="1"/>
  <c r="N59" i="6" s="1"/>
  <c r="N58" i="6" s="1"/>
  <c r="P57" i="6"/>
  <c r="C72" i="6"/>
  <c r="P68" i="6" l="1"/>
  <c r="P70" i="6"/>
  <c r="P72" i="6"/>
  <c r="P66" i="6"/>
  <c r="P65" i="6"/>
  <c r="P71" i="6"/>
  <c r="P67" i="6"/>
  <c r="P69" i="6"/>
  <c r="Q57" i="6"/>
  <c r="C73" i="6"/>
  <c r="O61" i="6"/>
  <c r="O60" i="6" s="1"/>
  <c r="O59" i="6" s="1"/>
  <c r="O58" i="6" s="1"/>
  <c r="Q68" i="6" l="1"/>
  <c r="Q70" i="6"/>
  <c r="Q72" i="6"/>
  <c r="Q65" i="6"/>
  <c r="Q73" i="6"/>
  <c r="Q66" i="6"/>
  <c r="Q67" i="6"/>
  <c r="Q69" i="6"/>
  <c r="Q71" i="6"/>
  <c r="R57" i="6"/>
  <c r="C74" i="6"/>
  <c r="P61" i="6"/>
  <c r="P60" i="6" s="1"/>
  <c r="P59" i="6" s="1"/>
  <c r="P58" i="6" s="1"/>
  <c r="R69" i="6" l="1"/>
  <c r="R71" i="6"/>
  <c r="R73" i="6"/>
  <c r="R66" i="6"/>
  <c r="R74" i="6"/>
  <c r="R65" i="6"/>
  <c r="R67" i="6"/>
  <c r="R68" i="6"/>
  <c r="R70" i="6"/>
  <c r="R72" i="6"/>
  <c r="C75" i="6"/>
  <c r="S57" i="6"/>
  <c r="Q61" i="6"/>
  <c r="Q60" i="6" s="1"/>
  <c r="Q59" i="6" s="1"/>
  <c r="Q58" i="6" s="1"/>
  <c r="S71" i="6" l="1"/>
  <c r="S73" i="6"/>
  <c r="S67" i="6"/>
  <c r="S75" i="6"/>
  <c r="S68" i="6"/>
  <c r="S69" i="6"/>
  <c r="S65" i="6"/>
  <c r="S70" i="6"/>
  <c r="S66" i="6"/>
  <c r="S72" i="6"/>
  <c r="S74" i="6"/>
  <c r="R61" i="6"/>
  <c r="R60" i="6" s="1"/>
  <c r="R59" i="6" s="1"/>
  <c r="R58" i="6" s="1"/>
  <c r="C76" i="6"/>
  <c r="T57" i="6"/>
  <c r="T66" i="6" l="1"/>
  <c r="T74" i="6"/>
  <c r="T68" i="6"/>
  <c r="T76" i="6"/>
  <c r="T70" i="6"/>
  <c r="T71" i="6"/>
  <c r="T72" i="6"/>
  <c r="T73" i="6"/>
  <c r="T65" i="6"/>
  <c r="T75" i="6"/>
  <c r="T67" i="6"/>
  <c r="T69" i="6"/>
  <c r="U57" i="6"/>
  <c r="C77" i="6"/>
  <c r="S61" i="6"/>
  <c r="S60" i="6" s="1"/>
  <c r="S59" i="6" s="1"/>
  <c r="S58" i="6" s="1"/>
  <c r="U70" i="6" l="1"/>
  <c r="U65" i="6"/>
  <c r="U72" i="6"/>
  <c r="U66" i="6"/>
  <c r="U74" i="6"/>
  <c r="U67" i="6"/>
  <c r="U75" i="6"/>
  <c r="U68" i="6"/>
  <c r="U76" i="6"/>
  <c r="U69" i="6"/>
  <c r="U71" i="6"/>
  <c r="U73" i="6"/>
  <c r="U77" i="6"/>
  <c r="T61" i="6"/>
  <c r="T60" i="6" s="1"/>
  <c r="T59" i="6" s="1"/>
  <c r="T58" i="6" s="1"/>
  <c r="C78" i="6"/>
  <c r="V57" i="6"/>
  <c r="V67" i="6" l="1"/>
  <c r="V75" i="6"/>
  <c r="V69" i="6"/>
  <c r="V77" i="6"/>
  <c r="V71" i="6"/>
  <c r="V72" i="6"/>
  <c r="V73" i="6"/>
  <c r="V76" i="6"/>
  <c r="V78" i="6"/>
  <c r="V65" i="6"/>
  <c r="V74" i="6"/>
  <c r="V66" i="6"/>
  <c r="V68" i="6"/>
  <c r="V70" i="6"/>
  <c r="C79" i="6"/>
  <c r="W57" i="6"/>
  <c r="U61" i="6"/>
  <c r="U60" i="6" s="1"/>
  <c r="U59" i="6" s="1"/>
  <c r="U58" i="6" s="1"/>
  <c r="W73" i="6" l="1"/>
  <c r="W67" i="6"/>
  <c r="W75" i="6"/>
  <c r="W65" i="6"/>
  <c r="W69" i="6"/>
  <c r="W77" i="6"/>
  <c r="W70" i="6"/>
  <c r="W78" i="6"/>
  <c r="W71" i="6"/>
  <c r="W79" i="6"/>
  <c r="W66" i="6"/>
  <c r="W68" i="6"/>
  <c r="W72" i="6"/>
  <c r="W76" i="6"/>
  <c r="W74" i="6"/>
  <c r="X57" i="6"/>
  <c r="C80" i="6"/>
  <c r="V61" i="6"/>
  <c r="V60" i="6" s="1"/>
  <c r="V59" i="6" s="1"/>
  <c r="V58" i="6" s="1"/>
  <c r="X72" i="6" l="1"/>
  <c r="X80" i="6"/>
  <c r="X66" i="6"/>
  <c r="X74" i="6"/>
  <c r="X68" i="6"/>
  <c r="X76" i="6"/>
  <c r="X69" i="6"/>
  <c r="X77" i="6"/>
  <c r="X70" i="6"/>
  <c r="X78" i="6"/>
  <c r="X79" i="6"/>
  <c r="X67" i="6"/>
  <c r="X65" i="6"/>
  <c r="X71" i="6"/>
  <c r="X73" i="6"/>
  <c r="X75" i="6"/>
  <c r="Y57" i="6"/>
  <c r="C81" i="6"/>
  <c r="W61" i="6"/>
  <c r="W60" i="6" s="1"/>
  <c r="W59" i="6" s="1"/>
  <c r="W58" i="6" s="1"/>
  <c r="Y72" i="6" l="1"/>
  <c r="Y80" i="6"/>
  <c r="Y66" i="6"/>
  <c r="Y74" i="6"/>
  <c r="Y68" i="6"/>
  <c r="Y76" i="6"/>
  <c r="Y65" i="6"/>
  <c r="Y69" i="6"/>
  <c r="Y77" i="6"/>
  <c r="Y70" i="6"/>
  <c r="Y78" i="6"/>
  <c r="Y75" i="6"/>
  <c r="Y79" i="6"/>
  <c r="Y81" i="6"/>
  <c r="Y67" i="6"/>
  <c r="Y71" i="6"/>
  <c r="Y73" i="6"/>
  <c r="X61" i="6"/>
  <c r="X60" i="6" s="1"/>
  <c r="X59" i="6" s="1"/>
  <c r="X58" i="6" s="1"/>
  <c r="Z57" i="6"/>
  <c r="C82" i="6"/>
  <c r="Z73" i="6" l="1"/>
  <c r="Z81" i="6"/>
  <c r="Z67" i="6"/>
  <c r="Z75" i="6"/>
  <c r="Z69" i="6"/>
  <c r="Z77" i="6"/>
  <c r="Z70" i="6"/>
  <c r="Z78" i="6"/>
  <c r="Z65" i="6"/>
  <c r="Z71" i="6"/>
  <c r="Z79" i="6"/>
  <c r="Z72" i="6"/>
  <c r="Z74" i="6"/>
  <c r="Z76" i="6"/>
  <c r="Z82" i="6"/>
  <c r="Z68" i="6"/>
  <c r="Z80" i="6"/>
  <c r="Z66" i="6"/>
  <c r="Y61" i="6"/>
  <c r="Y60" i="6" s="1"/>
  <c r="Y59" i="6" s="1"/>
  <c r="Y58" i="6" s="1"/>
  <c r="C83" i="6"/>
  <c r="AA57" i="6"/>
  <c r="AA67" i="6" l="1"/>
  <c r="AA75" i="6"/>
  <c r="AA83" i="6"/>
  <c r="AA69" i="6"/>
  <c r="AA77" i="6"/>
  <c r="AA71" i="6"/>
  <c r="AA79" i="6"/>
  <c r="AA72" i="6"/>
  <c r="AA80" i="6"/>
  <c r="AA73" i="6"/>
  <c r="AA81" i="6"/>
  <c r="AA65" i="6"/>
  <c r="AA68" i="6"/>
  <c r="AA70" i="6"/>
  <c r="AA74" i="6"/>
  <c r="AA76" i="6"/>
  <c r="AA78" i="6"/>
  <c r="AA82" i="6"/>
  <c r="AA66" i="6"/>
  <c r="Z61" i="6"/>
  <c r="Z60" i="6" s="1"/>
  <c r="Z59" i="6" s="1"/>
  <c r="Z58" i="6" s="1"/>
  <c r="C84" i="6"/>
  <c r="AB57" i="6"/>
  <c r="AB70" i="6" l="1"/>
  <c r="AB78" i="6"/>
  <c r="AB72" i="6"/>
  <c r="AB80" i="6"/>
  <c r="AB66" i="6"/>
  <c r="AB74" i="6"/>
  <c r="AB82" i="6"/>
  <c r="AB67" i="6"/>
  <c r="AB75" i="6"/>
  <c r="AB83" i="6"/>
  <c r="AB68" i="6"/>
  <c r="AB76" i="6"/>
  <c r="AB84" i="6"/>
  <c r="AB69" i="6"/>
  <c r="AB71" i="6"/>
  <c r="AB77" i="6"/>
  <c r="AB73" i="6"/>
  <c r="AB65" i="6"/>
  <c r="AB79" i="6"/>
  <c r="AB81" i="6"/>
  <c r="C85" i="6"/>
  <c r="AC57" i="6"/>
  <c r="AA61" i="6"/>
  <c r="AA60" i="6" s="1"/>
  <c r="AA59" i="6" s="1"/>
  <c r="AA58" i="6" s="1"/>
  <c r="AC66" i="6" l="1"/>
  <c r="AC74" i="6"/>
  <c r="AC82" i="6"/>
  <c r="AC65" i="6"/>
  <c r="AC68" i="6"/>
  <c r="AC76" i="6"/>
  <c r="AC84" i="6"/>
  <c r="AC70" i="6"/>
  <c r="AC78" i="6"/>
  <c r="AC71" i="6"/>
  <c r="AC79" i="6"/>
  <c r="AC72" i="6"/>
  <c r="AC80" i="6"/>
  <c r="AC83" i="6"/>
  <c r="AC85" i="6"/>
  <c r="AC67" i="6"/>
  <c r="AC69" i="6"/>
  <c r="AC73" i="6"/>
  <c r="AC75" i="6"/>
  <c r="AC77" i="6"/>
  <c r="AC81" i="6"/>
  <c r="AD57" i="6"/>
  <c r="C86" i="6"/>
  <c r="AB61" i="6"/>
  <c r="AB60" i="6" s="1"/>
  <c r="AB59" i="6" s="1"/>
  <c r="AB58" i="6" s="1"/>
  <c r="AD71" i="6" l="1"/>
  <c r="AD79" i="6"/>
  <c r="AD73" i="6"/>
  <c r="AD81" i="6"/>
  <c r="AD67" i="6"/>
  <c r="AD75" i="6"/>
  <c r="AD83" i="6"/>
  <c r="AD68" i="6"/>
  <c r="AD76" i="6"/>
  <c r="AD84" i="6"/>
  <c r="AD69" i="6"/>
  <c r="AD77" i="6"/>
  <c r="AD85" i="6"/>
  <c r="AD86" i="6"/>
  <c r="AD66" i="6"/>
  <c r="AD70" i="6"/>
  <c r="AD74" i="6"/>
  <c r="AD82" i="6"/>
  <c r="AD72" i="6"/>
  <c r="AD78" i="6"/>
  <c r="AD65" i="6"/>
  <c r="AD80" i="6"/>
  <c r="AC61" i="6"/>
  <c r="AC60" i="6" s="1"/>
  <c r="AC59" i="6" s="1"/>
  <c r="AC58" i="6" s="1"/>
  <c r="C87" i="6"/>
  <c r="AE57" i="6"/>
  <c r="AE69" i="6" l="1"/>
  <c r="AE77" i="6"/>
  <c r="AE85" i="6"/>
  <c r="AE71" i="6"/>
  <c r="AE79" i="6"/>
  <c r="AE87" i="6"/>
  <c r="AE65" i="6"/>
  <c r="AE73" i="6"/>
  <c r="AE81" i="6"/>
  <c r="AE66" i="6"/>
  <c r="AE74" i="6"/>
  <c r="AE82" i="6"/>
  <c r="AE67" i="6"/>
  <c r="AE75" i="6"/>
  <c r="AE83" i="6"/>
  <c r="AE86" i="6"/>
  <c r="AE68" i="6"/>
  <c r="AE70" i="6"/>
  <c r="AE76" i="6"/>
  <c r="AE72" i="6"/>
  <c r="AE78" i="6"/>
  <c r="AE80" i="6"/>
  <c r="AE84" i="6"/>
  <c r="AD61" i="6"/>
  <c r="AD60" i="6" s="1"/>
  <c r="AD59" i="6" s="1"/>
  <c r="AD58" i="6" s="1"/>
  <c r="AF57" i="6"/>
  <c r="C88" i="6"/>
  <c r="AF67" i="6" l="1"/>
  <c r="AF75" i="6"/>
  <c r="AF83" i="6"/>
  <c r="AF69" i="6"/>
  <c r="AF77" i="6"/>
  <c r="AF85" i="6"/>
  <c r="AF71" i="6"/>
  <c r="AF79" i="6"/>
  <c r="AF87" i="6"/>
  <c r="AF72" i="6"/>
  <c r="AF80" i="6"/>
  <c r="AF73" i="6"/>
  <c r="AF81" i="6"/>
  <c r="AF66" i="6"/>
  <c r="AF86" i="6"/>
  <c r="AF68" i="6"/>
  <c r="AF70" i="6"/>
  <c r="AF74" i="6"/>
  <c r="AF76" i="6"/>
  <c r="AF78" i="6"/>
  <c r="AF82" i="6"/>
  <c r="AF65" i="6"/>
  <c r="AF84" i="6"/>
  <c r="AE61" i="6"/>
  <c r="AE60" i="6" s="1"/>
  <c r="AE59" i="6" s="1"/>
  <c r="AE58" i="6" s="1"/>
  <c r="C89" i="6"/>
  <c r="AG57" i="6"/>
  <c r="AF88" i="6"/>
  <c r="AG67" i="6" l="1"/>
  <c r="AG75" i="6"/>
  <c r="AG83" i="6"/>
  <c r="AG69" i="6"/>
  <c r="AG77" i="6"/>
  <c r="AG85" i="6"/>
  <c r="AG71" i="6"/>
  <c r="AG79" i="6"/>
  <c r="AG87" i="6"/>
  <c r="AG72" i="6"/>
  <c r="AG80" i="6"/>
  <c r="AG88" i="6"/>
  <c r="AG73" i="6"/>
  <c r="AG81" i="6"/>
  <c r="AG89" i="6"/>
  <c r="AG66" i="6"/>
  <c r="AG68" i="6"/>
  <c r="AG70" i="6"/>
  <c r="AG74" i="6"/>
  <c r="AG78" i="6"/>
  <c r="AG86" i="6"/>
  <c r="AG65" i="6"/>
  <c r="AG76" i="6"/>
  <c r="AG82" i="6"/>
  <c r="AG84" i="6"/>
  <c r="C90" i="6"/>
  <c r="AH57" i="6"/>
  <c r="AF61" i="6"/>
  <c r="AF60" i="6" s="1"/>
  <c r="AF59" i="6" s="1"/>
  <c r="AF58" i="6" s="1"/>
  <c r="AH68" i="6" l="1"/>
  <c r="AH76" i="6"/>
  <c r="AH84" i="6"/>
  <c r="AH69" i="6"/>
  <c r="AH70" i="6"/>
  <c r="AH78" i="6"/>
  <c r="AH86" i="6"/>
  <c r="AH71" i="6"/>
  <c r="AH72" i="6"/>
  <c r="AH80" i="6"/>
  <c r="AH88" i="6"/>
  <c r="AH73" i="6"/>
  <c r="AH81" i="6"/>
  <c r="AH89" i="6"/>
  <c r="AH65" i="6"/>
  <c r="AH66" i="6"/>
  <c r="AH74" i="6"/>
  <c r="AH82" i="6"/>
  <c r="AH90" i="6"/>
  <c r="AH67" i="6"/>
  <c r="AH75" i="6"/>
  <c r="AH77" i="6"/>
  <c r="AH83" i="6"/>
  <c r="AH79" i="6"/>
  <c r="AH85" i="6"/>
  <c r="AH87" i="6"/>
  <c r="AI57" i="6"/>
  <c r="C91" i="6"/>
  <c r="AG61" i="6"/>
  <c r="AG60" i="6" s="1"/>
  <c r="AG59" i="6" s="1"/>
  <c r="AG58" i="6" s="1"/>
  <c r="AI70" i="6" l="1"/>
  <c r="AI78" i="6"/>
  <c r="AI86" i="6"/>
  <c r="AI71" i="6"/>
  <c r="AI79" i="6"/>
  <c r="AI87" i="6"/>
  <c r="AI72" i="6"/>
  <c r="AI80" i="6"/>
  <c r="AI88" i="6"/>
  <c r="AI73" i="6"/>
  <c r="AI81" i="6"/>
  <c r="AI89" i="6"/>
  <c r="AI66" i="6"/>
  <c r="AI74" i="6"/>
  <c r="AI82" i="6"/>
  <c r="AI90" i="6"/>
  <c r="AI67" i="6"/>
  <c r="AI75" i="6"/>
  <c r="AI83" i="6"/>
  <c r="AI91" i="6"/>
  <c r="AI68" i="6"/>
  <c r="AI76" i="6"/>
  <c r="AI84" i="6"/>
  <c r="AI65" i="6"/>
  <c r="AI69" i="6"/>
  <c r="AI77" i="6"/>
  <c r="AI85" i="6"/>
  <c r="AJ57" i="6"/>
  <c r="C92" i="6"/>
  <c r="AH61" i="6"/>
  <c r="AH60" i="6" s="1"/>
  <c r="AH59" i="6" s="1"/>
  <c r="AH58" i="6" s="1"/>
  <c r="AJ73" i="6" l="1"/>
  <c r="AJ81" i="6"/>
  <c r="AJ89" i="6"/>
  <c r="AJ66" i="6"/>
  <c r="AJ74" i="6"/>
  <c r="AJ82" i="6"/>
  <c r="AJ90" i="6"/>
  <c r="AJ67" i="6"/>
  <c r="AJ75" i="6"/>
  <c r="AJ83" i="6"/>
  <c r="AJ91" i="6"/>
  <c r="AJ68" i="6"/>
  <c r="AJ76" i="6"/>
  <c r="AJ84" i="6"/>
  <c r="AJ92" i="6"/>
  <c r="AJ69" i="6"/>
  <c r="AJ77" i="6"/>
  <c r="AJ85" i="6"/>
  <c r="AJ70" i="6"/>
  <c r="AJ78" i="6"/>
  <c r="AJ86" i="6"/>
  <c r="AJ71" i="6"/>
  <c r="AJ79" i="6"/>
  <c r="AJ87" i="6"/>
  <c r="AJ65" i="6"/>
  <c r="AJ72" i="6"/>
  <c r="AJ88" i="6"/>
  <c r="AJ80" i="6"/>
  <c r="AI61" i="6"/>
  <c r="AI60" i="6" s="1"/>
  <c r="AI59" i="6" s="1"/>
  <c r="AI58" i="6" s="1"/>
  <c r="C93" i="6"/>
  <c r="AK57" i="6"/>
  <c r="AK69" i="6" l="1"/>
  <c r="AK77" i="6"/>
  <c r="AK85" i="6"/>
  <c r="AK93" i="6"/>
  <c r="AK70" i="6"/>
  <c r="AK78" i="6"/>
  <c r="AK86" i="6"/>
  <c r="AK71" i="6"/>
  <c r="AK79" i="6"/>
  <c r="AK87" i="6"/>
  <c r="AK72" i="6"/>
  <c r="AK80" i="6"/>
  <c r="AK88" i="6"/>
  <c r="AK73" i="6"/>
  <c r="AK81" i="6"/>
  <c r="AK89" i="6"/>
  <c r="AK66" i="6"/>
  <c r="AK74" i="6"/>
  <c r="AK82" i="6"/>
  <c r="AK90" i="6"/>
  <c r="AK67" i="6"/>
  <c r="AK75" i="6"/>
  <c r="AK83" i="6"/>
  <c r="AK91" i="6"/>
  <c r="AK84" i="6"/>
  <c r="AK92" i="6"/>
  <c r="AK65" i="6"/>
  <c r="AK76" i="6"/>
  <c r="AK68" i="6"/>
  <c r="C94" i="6"/>
  <c r="AL57" i="6"/>
  <c r="AJ61" i="6"/>
  <c r="AJ60" i="6" s="1"/>
  <c r="AJ59" i="6" s="1"/>
  <c r="AJ58" i="6" s="1"/>
  <c r="AL66" i="6" l="1"/>
  <c r="AL74" i="6"/>
  <c r="AL82" i="6"/>
  <c r="AL90" i="6"/>
  <c r="AL67" i="6"/>
  <c r="AL75" i="6"/>
  <c r="AL83" i="6"/>
  <c r="AL91" i="6"/>
  <c r="AL68" i="6"/>
  <c r="AL76" i="6"/>
  <c r="AL84" i="6"/>
  <c r="AL92" i="6"/>
  <c r="AL69" i="6"/>
  <c r="AL77" i="6"/>
  <c r="AL85" i="6"/>
  <c r="AL93" i="6"/>
  <c r="AL70" i="6"/>
  <c r="AL78" i="6"/>
  <c r="AL86" i="6"/>
  <c r="AL94" i="6"/>
  <c r="AL71" i="6"/>
  <c r="AL79" i="6"/>
  <c r="AL87" i="6"/>
  <c r="AL72" i="6"/>
  <c r="AL80" i="6"/>
  <c r="AL88" i="6"/>
  <c r="AL65" i="6"/>
  <c r="AL81" i="6"/>
  <c r="AL73" i="6"/>
  <c r="AL89" i="6"/>
  <c r="C95" i="6"/>
  <c r="AM57" i="6"/>
  <c r="AK61" i="6"/>
  <c r="AK60" i="6" s="1"/>
  <c r="AK59" i="6" s="1"/>
  <c r="AK58" i="6" s="1"/>
  <c r="AM72" i="6" l="1"/>
  <c r="AM80" i="6"/>
  <c r="AM88" i="6"/>
  <c r="AM73" i="6"/>
  <c r="AM81" i="6"/>
  <c r="AM89" i="6"/>
  <c r="AM66" i="6"/>
  <c r="AM74" i="6"/>
  <c r="AM82" i="6"/>
  <c r="AM90" i="6"/>
  <c r="AM67" i="6"/>
  <c r="AM75" i="6"/>
  <c r="AM83" i="6"/>
  <c r="AM91" i="6"/>
  <c r="AM68" i="6"/>
  <c r="AM76" i="6"/>
  <c r="AM84" i="6"/>
  <c r="AM92" i="6"/>
  <c r="AM69" i="6"/>
  <c r="AM77" i="6"/>
  <c r="AM85" i="6"/>
  <c r="AM93" i="6"/>
  <c r="AM70" i="6"/>
  <c r="AM78" i="6"/>
  <c r="AM86" i="6"/>
  <c r="AM94" i="6"/>
  <c r="AM71" i="6"/>
  <c r="AM79" i="6"/>
  <c r="AM87" i="6"/>
  <c r="AM95" i="6"/>
  <c r="AM65" i="6"/>
  <c r="AN57" i="6"/>
  <c r="C96" i="6"/>
  <c r="AL61" i="6"/>
  <c r="AL60" i="6" s="1"/>
  <c r="AL59" i="6" s="1"/>
  <c r="AL58" i="6" s="1"/>
  <c r="AN71" i="6" l="1"/>
  <c r="AN79" i="6"/>
  <c r="AN87" i="6"/>
  <c r="AN95" i="6"/>
  <c r="AN72" i="6"/>
  <c r="AN80" i="6"/>
  <c r="AN88" i="6"/>
  <c r="AN96" i="6"/>
  <c r="AN73" i="6"/>
  <c r="AN81" i="6"/>
  <c r="AN89" i="6"/>
  <c r="AN66" i="6"/>
  <c r="AN74" i="6"/>
  <c r="AN82" i="6"/>
  <c r="AN90" i="6"/>
  <c r="AN67" i="6"/>
  <c r="AN75" i="6"/>
  <c r="AN83" i="6"/>
  <c r="AN91" i="6"/>
  <c r="AN68" i="6"/>
  <c r="AN76" i="6"/>
  <c r="AN84" i="6"/>
  <c r="AN92" i="6"/>
  <c r="AN69" i="6"/>
  <c r="AN77" i="6"/>
  <c r="AN85" i="6"/>
  <c r="AN93" i="6"/>
  <c r="AN78" i="6"/>
  <c r="AN65" i="6"/>
  <c r="AN70" i="6"/>
  <c r="AN86" i="6"/>
  <c r="AN94" i="6"/>
  <c r="AO57" i="6"/>
  <c r="C97" i="6"/>
  <c r="AM61" i="6"/>
  <c r="AM60" i="6" s="1"/>
  <c r="AM59" i="6" s="1"/>
  <c r="AM58" i="6" s="1"/>
  <c r="AO69" i="6" l="1"/>
  <c r="AO77" i="6"/>
  <c r="AO85" i="6"/>
  <c r="AO93" i="6"/>
  <c r="AO70" i="6"/>
  <c r="AO78" i="6"/>
  <c r="AO86" i="6"/>
  <c r="AO72" i="6"/>
  <c r="AO80" i="6"/>
  <c r="AO88" i="6"/>
  <c r="AO96" i="6"/>
  <c r="AO68" i="6"/>
  <c r="AO82" i="6"/>
  <c r="AO94" i="6"/>
  <c r="AO71" i="6"/>
  <c r="AO83" i="6"/>
  <c r="AO95" i="6"/>
  <c r="AO73" i="6"/>
  <c r="AO84" i="6"/>
  <c r="AO97" i="6"/>
  <c r="AO74" i="6"/>
  <c r="AO87" i="6"/>
  <c r="AO75" i="6"/>
  <c r="AO89" i="6"/>
  <c r="AO76" i="6"/>
  <c r="AO90" i="6"/>
  <c r="AO66" i="6"/>
  <c r="AO79" i="6"/>
  <c r="AO91" i="6"/>
  <c r="AO67" i="6"/>
  <c r="AO81" i="6"/>
  <c r="AO92" i="6"/>
  <c r="AO65" i="6"/>
  <c r="AN61" i="6"/>
  <c r="AN60" i="6" s="1"/>
  <c r="AN59" i="6" s="1"/>
  <c r="AN58" i="6" s="1"/>
  <c r="AP57" i="6"/>
  <c r="C98" i="6"/>
  <c r="AP70" i="6" l="1"/>
  <c r="AP78" i="6"/>
  <c r="AP86" i="6"/>
  <c r="AP94" i="6"/>
  <c r="AP71" i="6"/>
  <c r="AP79" i="6"/>
  <c r="AP87" i="6"/>
  <c r="AP95" i="6"/>
  <c r="AP73" i="6"/>
  <c r="AP81" i="6"/>
  <c r="AP89" i="6"/>
  <c r="AP97" i="6"/>
  <c r="AP76" i="6"/>
  <c r="AP90" i="6"/>
  <c r="AP66" i="6"/>
  <c r="AP77" i="6"/>
  <c r="AP91" i="6"/>
  <c r="AP67" i="6"/>
  <c r="AP80" i="6"/>
  <c r="AP92" i="6"/>
  <c r="AP68" i="6"/>
  <c r="AP82" i="6"/>
  <c r="AP93" i="6"/>
  <c r="AP69" i="6"/>
  <c r="AP83" i="6"/>
  <c r="AP96" i="6"/>
  <c r="AP72" i="6"/>
  <c r="AP84" i="6"/>
  <c r="AP98" i="6"/>
  <c r="AP74" i="6"/>
  <c r="AP85" i="6"/>
  <c r="AP88" i="6"/>
  <c r="AP75" i="6"/>
  <c r="AP65" i="6"/>
  <c r="AO61" i="6"/>
  <c r="AO60" i="6" s="1"/>
  <c r="AO59" i="6" s="1"/>
  <c r="AO58" i="6" s="1"/>
  <c r="AQ57" i="6"/>
  <c r="C99" i="6"/>
  <c r="AQ72" i="6" l="1"/>
  <c r="AQ80" i="6"/>
  <c r="AQ88" i="6"/>
  <c r="AQ96" i="6"/>
  <c r="AQ73" i="6"/>
  <c r="AQ81" i="6"/>
  <c r="AQ89" i="6"/>
  <c r="AQ97" i="6"/>
  <c r="AQ67" i="6"/>
  <c r="AQ75" i="6"/>
  <c r="AQ83" i="6"/>
  <c r="AQ91" i="6"/>
  <c r="AQ99" i="6"/>
  <c r="AQ71" i="6"/>
  <c r="AQ85" i="6"/>
  <c r="AQ98" i="6"/>
  <c r="AQ74" i="6"/>
  <c r="AQ86" i="6"/>
  <c r="AQ76" i="6"/>
  <c r="AQ87" i="6"/>
  <c r="AQ77" i="6"/>
  <c r="AQ90" i="6"/>
  <c r="AQ66" i="6"/>
  <c r="AQ78" i="6"/>
  <c r="AQ92" i="6"/>
  <c r="AQ68" i="6"/>
  <c r="AQ79" i="6"/>
  <c r="AQ93" i="6"/>
  <c r="AQ69" i="6"/>
  <c r="AQ82" i="6"/>
  <c r="AQ94" i="6"/>
  <c r="AQ84" i="6"/>
  <c r="AQ70" i="6"/>
  <c r="AQ95" i="6"/>
  <c r="AQ65" i="6"/>
  <c r="AR57" i="6"/>
  <c r="C100" i="6"/>
  <c r="AP61" i="6"/>
  <c r="AP60" i="6" s="1"/>
  <c r="AP59" i="6" s="1"/>
  <c r="AP58" i="6" s="1"/>
  <c r="AR67" i="6" l="1"/>
  <c r="AR75" i="6"/>
  <c r="AR83" i="6"/>
  <c r="AR91" i="6"/>
  <c r="AR99" i="6"/>
  <c r="AR68" i="6"/>
  <c r="AR76" i="6"/>
  <c r="AR84" i="6"/>
  <c r="AR92" i="6"/>
  <c r="AR100" i="6"/>
  <c r="AR70" i="6"/>
  <c r="AR78" i="6"/>
  <c r="AR86" i="6"/>
  <c r="AR94" i="6"/>
  <c r="AR69" i="6"/>
  <c r="AR81" i="6"/>
  <c r="AR95" i="6"/>
  <c r="AR71" i="6"/>
  <c r="AR82" i="6"/>
  <c r="AR96" i="6"/>
  <c r="AR72" i="6"/>
  <c r="AR85" i="6"/>
  <c r="AR97" i="6"/>
  <c r="AR73" i="6"/>
  <c r="AR87" i="6"/>
  <c r="AR98" i="6"/>
  <c r="AR74" i="6"/>
  <c r="AR88" i="6"/>
  <c r="AR77" i="6"/>
  <c r="AR89" i="6"/>
  <c r="AR79" i="6"/>
  <c r="AR90" i="6"/>
  <c r="AR66" i="6"/>
  <c r="AR80" i="6"/>
  <c r="AR93" i="6"/>
  <c r="AR65" i="6"/>
  <c r="AQ61" i="6"/>
  <c r="AQ60" i="6" s="1"/>
  <c r="AQ59" i="6" s="1"/>
  <c r="AQ58" i="6" s="1"/>
  <c r="C101" i="6"/>
  <c r="AS57" i="6"/>
  <c r="AS68" i="6" l="1"/>
  <c r="AS69" i="6"/>
  <c r="AS77" i="6"/>
  <c r="AS85" i="6"/>
  <c r="AS70" i="6"/>
  <c r="AS71" i="6"/>
  <c r="AS79" i="6"/>
  <c r="AS87" i="6"/>
  <c r="AS95" i="6"/>
  <c r="AS72" i="6"/>
  <c r="AS80" i="6"/>
  <c r="AS88" i="6"/>
  <c r="AS96" i="6"/>
  <c r="AS73" i="6"/>
  <c r="AS81" i="6"/>
  <c r="AS66" i="6"/>
  <c r="AS74" i="6"/>
  <c r="AS82" i="6"/>
  <c r="AS90" i="6"/>
  <c r="AS98" i="6"/>
  <c r="AS75" i="6"/>
  <c r="AS92" i="6"/>
  <c r="AS76" i="6"/>
  <c r="AS93" i="6"/>
  <c r="AS78" i="6"/>
  <c r="AS94" i="6"/>
  <c r="AS83" i="6"/>
  <c r="AS97" i="6"/>
  <c r="AS84" i="6"/>
  <c r="AS99" i="6"/>
  <c r="AS86" i="6"/>
  <c r="AS100" i="6"/>
  <c r="AS89" i="6"/>
  <c r="AS101" i="6"/>
  <c r="AS65" i="6"/>
  <c r="AS67" i="6"/>
  <c r="AS91" i="6"/>
  <c r="AR61" i="6"/>
  <c r="AR60" i="6" s="1"/>
  <c r="AR59" i="6" s="1"/>
  <c r="AR58" i="6" s="1"/>
  <c r="AT57" i="6"/>
  <c r="C102" i="6"/>
  <c r="AT73" i="6" l="1"/>
  <c r="AT81" i="6"/>
  <c r="AT89" i="6"/>
  <c r="AT97" i="6"/>
  <c r="AT66" i="6"/>
  <c r="AT74" i="6"/>
  <c r="AT82" i="6"/>
  <c r="AT90" i="6"/>
  <c r="AT98" i="6"/>
  <c r="AT67" i="6"/>
  <c r="AT75" i="6"/>
  <c r="AT83" i="6"/>
  <c r="AT91" i="6"/>
  <c r="AT99" i="6"/>
  <c r="AT68" i="6"/>
  <c r="AT76" i="6"/>
  <c r="AT84" i="6"/>
  <c r="AT92" i="6"/>
  <c r="AT100" i="6"/>
  <c r="AT69" i="6"/>
  <c r="AT77" i="6"/>
  <c r="AT85" i="6"/>
  <c r="AT93" i="6"/>
  <c r="AT101" i="6"/>
  <c r="AT70" i="6"/>
  <c r="AT78" i="6"/>
  <c r="AT86" i="6"/>
  <c r="AT94" i="6"/>
  <c r="AT102" i="6"/>
  <c r="AT71" i="6"/>
  <c r="AT79" i="6"/>
  <c r="AT87" i="6"/>
  <c r="AT95" i="6"/>
  <c r="AT72" i="6"/>
  <c r="AT80" i="6"/>
  <c r="AT88" i="6"/>
  <c r="AT96" i="6"/>
  <c r="AT65" i="6"/>
  <c r="AS61" i="6"/>
  <c r="AS60" i="6" s="1"/>
  <c r="AS59" i="6" s="1"/>
  <c r="AS58" i="6" s="1"/>
  <c r="AU57" i="6"/>
  <c r="C103" i="6"/>
  <c r="AU71" i="6" l="1"/>
  <c r="AU79" i="6"/>
  <c r="AU87" i="6"/>
  <c r="AU95" i="6"/>
  <c r="AU103" i="6"/>
  <c r="AU72" i="6"/>
  <c r="AU80" i="6"/>
  <c r="AU88" i="6"/>
  <c r="AU96" i="6"/>
  <c r="AU73" i="6"/>
  <c r="AU81" i="6"/>
  <c r="AU89" i="6"/>
  <c r="AU97" i="6"/>
  <c r="AU66" i="6"/>
  <c r="AU74" i="6"/>
  <c r="AU82" i="6"/>
  <c r="AU90" i="6"/>
  <c r="AU98" i="6"/>
  <c r="AU67" i="6"/>
  <c r="AU75" i="6"/>
  <c r="AU83" i="6"/>
  <c r="AU91" i="6"/>
  <c r="AU99" i="6"/>
  <c r="AU68" i="6"/>
  <c r="AU76" i="6"/>
  <c r="AU84" i="6"/>
  <c r="AU92" i="6"/>
  <c r="AU100" i="6"/>
  <c r="AU69" i="6"/>
  <c r="AU77" i="6"/>
  <c r="AU85" i="6"/>
  <c r="AU93" i="6"/>
  <c r="AU101" i="6"/>
  <c r="AU86" i="6"/>
  <c r="AU94" i="6"/>
  <c r="AU102" i="6"/>
  <c r="AU70" i="6"/>
  <c r="AU65" i="6"/>
  <c r="AU78" i="6"/>
  <c r="AT61" i="6"/>
  <c r="AT60" i="6" s="1"/>
  <c r="AT59" i="6" s="1"/>
  <c r="AT58" i="6" s="1"/>
  <c r="AV57" i="6"/>
  <c r="C104" i="6"/>
  <c r="AV70" i="6" l="1"/>
  <c r="AV78" i="6"/>
  <c r="AV86" i="6"/>
  <c r="AV94" i="6"/>
  <c r="AV102" i="6"/>
  <c r="AV71" i="6"/>
  <c r="AV79" i="6"/>
  <c r="AV87" i="6"/>
  <c r="AV95" i="6"/>
  <c r="AV103" i="6"/>
  <c r="AV72" i="6"/>
  <c r="AV80" i="6"/>
  <c r="AV88" i="6"/>
  <c r="AV96" i="6"/>
  <c r="AV104" i="6"/>
  <c r="AV73" i="6"/>
  <c r="AV81" i="6"/>
  <c r="AV89" i="6"/>
  <c r="AV97" i="6"/>
  <c r="AV66" i="6"/>
  <c r="AV74" i="6"/>
  <c r="AV82" i="6"/>
  <c r="AV90" i="6"/>
  <c r="AV98" i="6"/>
  <c r="AV67" i="6"/>
  <c r="AV75" i="6"/>
  <c r="AV83" i="6"/>
  <c r="AV91" i="6"/>
  <c r="AV99" i="6"/>
  <c r="AV68" i="6"/>
  <c r="AV76" i="6"/>
  <c r="AV84" i="6"/>
  <c r="AV92" i="6"/>
  <c r="AV100" i="6"/>
  <c r="AV69" i="6"/>
  <c r="AV77" i="6"/>
  <c r="AV85" i="6"/>
  <c r="AV93" i="6"/>
  <c r="AV101" i="6"/>
  <c r="AV65" i="6"/>
  <c r="C105" i="6"/>
  <c r="AW57" i="6"/>
  <c r="AU61" i="6"/>
  <c r="AU60" i="6" s="1"/>
  <c r="AU59" i="6" s="1"/>
  <c r="AU58" i="6" s="1"/>
  <c r="AW70" i="6" l="1"/>
  <c r="AW78" i="6"/>
  <c r="AW86" i="6"/>
  <c r="AW94" i="6"/>
  <c r="AW102" i="6"/>
  <c r="AW71" i="6"/>
  <c r="AW79" i="6"/>
  <c r="AW87" i="6"/>
  <c r="AW95" i="6"/>
  <c r="AW103" i="6"/>
  <c r="AW72" i="6"/>
  <c r="AW80" i="6"/>
  <c r="AW88" i="6"/>
  <c r="AW96" i="6"/>
  <c r="AW104" i="6"/>
  <c r="AW73" i="6"/>
  <c r="AW81" i="6"/>
  <c r="AW89" i="6"/>
  <c r="AW97" i="6"/>
  <c r="AW105" i="6"/>
  <c r="AW66" i="6"/>
  <c r="AW74" i="6"/>
  <c r="AW82" i="6"/>
  <c r="AW90" i="6"/>
  <c r="AW98" i="6"/>
  <c r="AW67" i="6"/>
  <c r="AW75" i="6"/>
  <c r="AW83" i="6"/>
  <c r="AW91" i="6"/>
  <c r="AW99" i="6"/>
  <c r="AW68" i="6"/>
  <c r="AW76" i="6"/>
  <c r="AW84" i="6"/>
  <c r="AW92" i="6"/>
  <c r="AW100" i="6"/>
  <c r="AW101" i="6"/>
  <c r="AW69" i="6"/>
  <c r="AW77" i="6"/>
  <c r="AW85" i="6"/>
  <c r="AW93" i="6"/>
  <c r="AW65" i="6"/>
  <c r="AV61" i="6"/>
  <c r="AV60" i="6" s="1"/>
  <c r="AV59" i="6" s="1"/>
  <c r="AV58" i="6" s="1"/>
  <c r="AX57" i="6"/>
  <c r="C106" i="6"/>
  <c r="AX71" i="6" l="1"/>
  <c r="AX79" i="6"/>
  <c r="AX87" i="6"/>
  <c r="AX95" i="6"/>
  <c r="AX103" i="6"/>
  <c r="AX72" i="6"/>
  <c r="AX80" i="6"/>
  <c r="AX88" i="6"/>
  <c r="AX96" i="6"/>
  <c r="AX104" i="6"/>
  <c r="AX73" i="6"/>
  <c r="AX81" i="6"/>
  <c r="AX89" i="6"/>
  <c r="AX97" i="6"/>
  <c r="AX105" i="6"/>
  <c r="AX66" i="6"/>
  <c r="AX74" i="6"/>
  <c r="AX82" i="6"/>
  <c r="AX90" i="6"/>
  <c r="AX98" i="6"/>
  <c r="AX106" i="6"/>
  <c r="AX67" i="6"/>
  <c r="AX75" i="6"/>
  <c r="AX83" i="6"/>
  <c r="AX91" i="6"/>
  <c r="AX99" i="6"/>
  <c r="AX68" i="6"/>
  <c r="AX76" i="6"/>
  <c r="AX84" i="6"/>
  <c r="AX92" i="6"/>
  <c r="AX100" i="6"/>
  <c r="AX69" i="6"/>
  <c r="AX77" i="6"/>
  <c r="AX85" i="6"/>
  <c r="AX93" i="6"/>
  <c r="AX101" i="6"/>
  <c r="AX78" i="6"/>
  <c r="AX86" i="6"/>
  <c r="AX94" i="6"/>
  <c r="AX102" i="6"/>
  <c r="AX70" i="6"/>
  <c r="AX65" i="6"/>
  <c r="C107" i="6"/>
  <c r="AY57" i="6"/>
  <c r="AW61" i="6"/>
  <c r="AW60" i="6" s="1"/>
  <c r="AW59" i="6" s="1"/>
  <c r="AW58" i="6" s="1"/>
  <c r="AY73" i="6" l="1"/>
  <c r="AY81" i="6"/>
  <c r="AY89" i="6"/>
  <c r="AY97" i="6"/>
  <c r="AY105" i="6"/>
  <c r="AY66" i="6"/>
  <c r="AY74" i="6"/>
  <c r="AY82" i="6"/>
  <c r="AY90" i="6"/>
  <c r="AY98" i="6"/>
  <c r="AY106" i="6"/>
  <c r="AY67" i="6"/>
  <c r="AY75" i="6"/>
  <c r="AY83" i="6"/>
  <c r="AY91" i="6"/>
  <c r="AY99" i="6"/>
  <c r="AY107" i="6"/>
  <c r="AY68" i="6"/>
  <c r="AY76" i="6"/>
  <c r="AY84" i="6"/>
  <c r="AY92" i="6"/>
  <c r="AY100" i="6"/>
  <c r="AY69" i="6"/>
  <c r="AY77" i="6"/>
  <c r="AY85" i="6"/>
  <c r="AY93" i="6"/>
  <c r="AY101" i="6"/>
  <c r="AY70" i="6"/>
  <c r="AY78" i="6"/>
  <c r="AY86" i="6"/>
  <c r="AY94" i="6"/>
  <c r="AY102" i="6"/>
  <c r="AY71" i="6"/>
  <c r="AY79" i="6"/>
  <c r="AY87" i="6"/>
  <c r="AY95" i="6"/>
  <c r="AY103" i="6"/>
  <c r="AY72" i="6"/>
  <c r="AY80" i="6"/>
  <c r="AY88" i="6"/>
  <c r="AY96" i="6"/>
  <c r="AY104" i="6"/>
  <c r="AY65" i="6"/>
  <c r="C108" i="6"/>
  <c r="AZ57" i="6"/>
  <c r="AX61" i="6"/>
  <c r="AX60" i="6" s="1"/>
  <c r="AX59" i="6" s="1"/>
  <c r="AX58" i="6" s="1"/>
  <c r="AZ68" i="6" l="1"/>
  <c r="AZ76" i="6"/>
  <c r="AZ84" i="6"/>
  <c r="AZ92" i="6"/>
  <c r="AZ100" i="6"/>
  <c r="AZ108" i="6"/>
  <c r="AZ69" i="6"/>
  <c r="AZ77" i="6"/>
  <c r="AZ85" i="6"/>
  <c r="AZ93" i="6"/>
  <c r="AZ101" i="6"/>
  <c r="AZ70" i="6"/>
  <c r="AZ78" i="6"/>
  <c r="AZ86" i="6"/>
  <c r="AZ94" i="6"/>
  <c r="AZ102" i="6"/>
  <c r="AZ71" i="6"/>
  <c r="AZ79" i="6"/>
  <c r="AZ87" i="6"/>
  <c r="AZ95" i="6"/>
  <c r="AZ103" i="6"/>
  <c r="AZ72" i="6"/>
  <c r="AZ80" i="6"/>
  <c r="AZ88" i="6"/>
  <c r="AZ96" i="6"/>
  <c r="AZ104" i="6"/>
  <c r="AZ73" i="6"/>
  <c r="AZ81" i="6"/>
  <c r="AZ89" i="6"/>
  <c r="AZ97" i="6"/>
  <c r="AZ105" i="6"/>
  <c r="AZ66" i="6"/>
  <c r="AZ74" i="6"/>
  <c r="AZ82" i="6"/>
  <c r="AZ90" i="6"/>
  <c r="AZ98" i="6"/>
  <c r="AZ106" i="6"/>
  <c r="AZ99" i="6"/>
  <c r="AZ107" i="6"/>
  <c r="AZ67" i="6"/>
  <c r="AZ75" i="6"/>
  <c r="AZ83" i="6"/>
  <c r="AZ91" i="6"/>
  <c r="AZ65" i="6"/>
  <c r="BA57" i="6"/>
  <c r="C109" i="6"/>
  <c r="AY61" i="6"/>
  <c r="AY60" i="6" s="1"/>
  <c r="AY59" i="6" s="1"/>
  <c r="AY58" i="6" s="1"/>
  <c r="BA72" i="6" l="1"/>
  <c r="BA80" i="6"/>
  <c r="BA88" i="6"/>
  <c r="BA96" i="6"/>
  <c r="BA104" i="6"/>
  <c r="BA73" i="6"/>
  <c r="BA81" i="6"/>
  <c r="BA89" i="6"/>
  <c r="BA97" i="6"/>
  <c r="BA105" i="6"/>
  <c r="BA66" i="6"/>
  <c r="BA74" i="6"/>
  <c r="BA82" i="6"/>
  <c r="BA90" i="6"/>
  <c r="BA98" i="6"/>
  <c r="BA106" i="6"/>
  <c r="BA67" i="6"/>
  <c r="BA75" i="6"/>
  <c r="BA83" i="6"/>
  <c r="BA91" i="6"/>
  <c r="BA99" i="6"/>
  <c r="BA107" i="6"/>
  <c r="BA68" i="6"/>
  <c r="BA76" i="6"/>
  <c r="BA84" i="6"/>
  <c r="BA92" i="6"/>
  <c r="BA100" i="6"/>
  <c r="BA108" i="6"/>
  <c r="BA69" i="6"/>
  <c r="BA77" i="6"/>
  <c r="BA85" i="6"/>
  <c r="BA93" i="6"/>
  <c r="BA101" i="6"/>
  <c r="BA109" i="6"/>
  <c r="BA70" i="6"/>
  <c r="BA78" i="6"/>
  <c r="BA86" i="6"/>
  <c r="BA94" i="6"/>
  <c r="BA102" i="6"/>
  <c r="BA79" i="6"/>
  <c r="BA87" i="6"/>
  <c r="BA95" i="6"/>
  <c r="BA103" i="6"/>
  <c r="BA71" i="6"/>
  <c r="BA65" i="6"/>
  <c r="C110" i="6"/>
  <c r="BB57" i="6"/>
  <c r="AZ61" i="6"/>
  <c r="AZ60" i="6" s="1"/>
  <c r="AZ59" i="6" s="1"/>
  <c r="AZ58" i="6" s="1"/>
  <c r="BB69" i="6" l="1"/>
  <c r="BB77" i="6"/>
  <c r="BB85" i="6"/>
  <c r="BB93" i="6"/>
  <c r="BB101" i="6"/>
  <c r="BB109" i="6"/>
  <c r="BB70" i="6"/>
  <c r="BB78" i="6"/>
  <c r="BB86" i="6"/>
  <c r="BB94" i="6"/>
  <c r="BB102" i="6"/>
  <c r="BB110" i="6"/>
  <c r="BB71" i="6"/>
  <c r="BB79" i="6"/>
  <c r="BB87" i="6"/>
  <c r="BB95" i="6"/>
  <c r="BB103" i="6"/>
  <c r="BB72" i="6"/>
  <c r="BB80" i="6"/>
  <c r="BB88" i="6"/>
  <c r="BB96" i="6"/>
  <c r="BB104" i="6"/>
  <c r="BB73" i="6"/>
  <c r="BB81" i="6"/>
  <c r="BB89" i="6"/>
  <c r="BB97" i="6"/>
  <c r="BB105" i="6"/>
  <c r="BB66" i="6"/>
  <c r="BB74" i="6"/>
  <c r="BB82" i="6"/>
  <c r="BB90" i="6"/>
  <c r="BB98" i="6"/>
  <c r="BB106" i="6"/>
  <c r="BB67" i="6"/>
  <c r="BB75" i="6"/>
  <c r="BB83" i="6"/>
  <c r="BB91" i="6"/>
  <c r="BB99" i="6"/>
  <c r="BB107" i="6"/>
  <c r="BB68" i="6"/>
  <c r="BB76" i="6"/>
  <c r="BB84" i="6"/>
  <c r="BB92" i="6"/>
  <c r="BB100" i="6"/>
  <c r="BB108" i="6"/>
  <c r="BB65" i="6"/>
  <c r="BC57" i="6"/>
  <c r="C111" i="6"/>
  <c r="BA61" i="6"/>
  <c r="BA60" i="6" s="1"/>
  <c r="BA59" i="6" s="1"/>
  <c r="BA58" i="6" s="1"/>
  <c r="BC67" i="6" l="1"/>
  <c r="BC75" i="6"/>
  <c r="BC83" i="6"/>
  <c r="BC91" i="6"/>
  <c r="BC99" i="6"/>
  <c r="BC107" i="6"/>
  <c r="BC68" i="6"/>
  <c r="BC76" i="6"/>
  <c r="BC84" i="6"/>
  <c r="BC92" i="6"/>
  <c r="BC100" i="6"/>
  <c r="BC108" i="6"/>
  <c r="BC69" i="6"/>
  <c r="BC77" i="6"/>
  <c r="BC85" i="6"/>
  <c r="BC93" i="6"/>
  <c r="BC101" i="6"/>
  <c r="BC109" i="6"/>
  <c r="BC70" i="6"/>
  <c r="BC78" i="6"/>
  <c r="BC86" i="6"/>
  <c r="BC94" i="6"/>
  <c r="BC102" i="6"/>
  <c r="BC110" i="6"/>
  <c r="BC71" i="6"/>
  <c r="BC79" i="6"/>
  <c r="BC87" i="6"/>
  <c r="BC95" i="6"/>
  <c r="BC103" i="6"/>
  <c r="BC111" i="6"/>
  <c r="BC72" i="6"/>
  <c r="BC80" i="6"/>
  <c r="BC88" i="6"/>
  <c r="BC96" i="6"/>
  <c r="BC104" i="6"/>
  <c r="BC73" i="6"/>
  <c r="BC81" i="6"/>
  <c r="BC89" i="6"/>
  <c r="BC97" i="6"/>
  <c r="BC105" i="6"/>
  <c r="BC106" i="6"/>
  <c r="BC66" i="6"/>
  <c r="BC74" i="6"/>
  <c r="BC82" i="6"/>
  <c r="BC90" i="6"/>
  <c r="BC98" i="6"/>
  <c r="BC65" i="6"/>
  <c r="C112" i="6"/>
  <c r="BD57" i="6"/>
  <c r="BB61" i="6"/>
  <c r="BB60" i="6" s="1"/>
  <c r="BB59" i="6" s="1"/>
  <c r="BB58" i="6" s="1"/>
  <c r="BD66" i="6" l="1"/>
  <c r="BD74" i="6"/>
  <c r="BD82" i="6"/>
  <c r="BD90" i="6"/>
  <c r="BD98" i="6"/>
  <c r="BD106" i="6"/>
  <c r="BD67" i="6"/>
  <c r="BD75" i="6"/>
  <c r="BD83" i="6"/>
  <c r="BD91" i="6"/>
  <c r="BD99" i="6"/>
  <c r="BD107" i="6"/>
  <c r="BD68" i="6"/>
  <c r="BD76" i="6"/>
  <c r="BD84" i="6"/>
  <c r="BD92" i="6"/>
  <c r="BD100" i="6"/>
  <c r="BD108" i="6"/>
  <c r="BD69" i="6"/>
  <c r="BD77" i="6"/>
  <c r="BD85" i="6"/>
  <c r="BD93" i="6"/>
  <c r="BD101" i="6"/>
  <c r="BD109" i="6"/>
  <c r="BD70" i="6"/>
  <c r="BD78" i="6"/>
  <c r="BD86" i="6"/>
  <c r="BD94" i="6"/>
  <c r="BD102" i="6"/>
  <c r="BD110" i="6"/>
  <c r="BD71" i="6"/>
  <c r="BD79" i="6"/>
  <c r="BD87" i="6"/>
  <c r="BD95" i="6"/>
  <c r="BD103" i="6"/>
  <c r="BD111" i="6"/>
  <c r="BD72" i="6"/>
  <c r="BD80" i="6"/>
  <c r="BD88" i="6"/>
  <c r="BD96" i="6"/>
  <c r="BD104" i="6"/>
  <c r="BD112" i="6"/>
  <c r="BD89" i="6"/>
  <c r="BD97" i="6"/>
  <c r="BD105" i="6"/>
  <c r="BD73" i="6"/>
  <c r="BD81" i="6"/>
  <c r="BD65" i="6"/>
  <c r="BE57" i="6"/>
  <c r="C113" i="6"/>
  <c r="BC61" i="6"/>
  <c r="BC60" i="6" s="1"/>
  <c r="BC59" i="6" s="1"/>
  <c r="BC58" i="6" s="1"/>
  <c r="BE66" i="6" l="1"/>
  <c r="BE74" i="6"/>
  <c r="BE82" i="6"/>
  <c r="BE90" i="6"/>
  <c r="BE98" i="6"/>
  <c r="BE106" i="6"/>
  <c r="BE67" i="6"/>
  <c r="BE75" i="6"/>
  <c r="BE83" i="6"/>
  <c r="BE91" i="6"/>
  <c r="BE99" i="6"/>
  <c r="BE107" i="6"/>
  <c r="BE68" i="6"/>
  <c r="BE76" i="6"/>
  <c r="BE84" i="6"/>
  <c r="BE92" i="6"/>
  <c r="BE100" i="6"/>
  <c r="BE108" i="6"/>
  <c r="BE69" i="6"/>
  <c r="BE77" i="6"/>
  <c r="BE85" i="6"/>
  <c r="BE93" i="6"/>
  <c r="BE101" i="6"/>
  <c r="BE109" i="6"/>
  <c r="BE70" i="6"/>
  <c r="BE78" i="6"/>
  <c r="BE86" i="6"/>
  <c r="BE94" i="6"/>
  <c r="BE102" i="6"/>
  <c r="BE110" i="6"/>
  <c r="BE71" i="6"/>
  <c r="BE79" i="6"/>
  <c r="BE87" i="6"/>
  <c r="BE95" i="6"/>
  <c r="BE103" i="6"/>
  <c r="BE111" i="6"/>
  <c r="BE72" i="6"/>
  <c r="BE80" i="6"/>
  <c r="BE88" i="6"/>
  <c r="BE96" i="6"/>
  <c r="BE104" i="6"/>
  <c r="BE112" i="6"/>
  <c r="BE73" i="6"/>
  <c r="BE81" i="6"/>
  <c r="BE89" i="6"/>
  <c r="BE97" i="6"/>
  <c r="BE105" i="6"/>
  <c r="BE113" i="6"/>
  <c r="BE65" i="6"/>
  <c r="G56" i="6"/>
  <c r="G55" i="6"/>
  <c r="BD61" i="6"/>
  <c r="BD60" i="6" s="1"/>
  <c r="BD59" i="6" s="1"/>
  <c r="BD58" i="6" s="1"/>
  <c r="C114" i="6"/>
  <c r="Q46" i="6" l="1"/>
  <c r="G15" i="19" s="1"/>
  <c r="I15" i="19" s="1"/>
  <c r="R46" i="6"/>
  <c r="G24" i="19" s="1"/>
  <c r="I24" i="19" s="1"/>
  <c r="BE61" i="6"/>
  <c r="BE60" i="6" s="1"/>
  <c r="BE59" i="6" s="1"/>
  <c r="BE58" i="6" s="1"/>
  <c r="G17" i="19" l="1"/>
  <c r="I17" i="19" s="1"/>
  <c r="G26" i="19"/>
  <c r="I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System Administrator</author>
  </authors>
  <commentList>
    <comment ref="F13" authorId="0" shapeId="0" xr:uid="{00000000-0006-0000-0A00-000001000000}">
      <text>
        <r>
          <rPr>
            <b/>
            <sz val="8"/>
            <color indexed="81"/>
            <rFont val="Tahoma"/>
            <family val="2"/>
          </rPr>
          <t>3.664 = conversion factor between C and CO</t>
        </r>
        <r>
          <rPr>
            <b/>
            <sz val="8"/>
            <color indexed="81"/>
            <rFont val="Tahoma"/>
            <family val="2"/>
          </rPr>
          <t xml:space="preserve">2 </t>
        </r>
      </text>
    </comment>
  </commentList>
</comments>
</file>

<file path=xl/sharedStrings.xml><?xml version="1.0" encoding="utf-8"?>
<sst xmlns="http://schemas.openxmlformats.org/spreadsheetml/2006/main" count="1126" uniqueCount="726">
  <si>
    <t>Gasoline / petrol 
Mobile 2-stroke engines, forestry</t>
  </si>
  <si>
    <t>Step 11</t>
  </si>
  <si>
    <t>Step 12</t>
  </si>
  <si>
    <t>T Total Fuel input</t>
  </si>
  <si>
    <t>Energy Unit used
in A, B, and C</t>
  </si>
  <si>
    <t>Assigned ratio of efficiencies</t>
  </si>
  <si>
    <t>Minimum ratio allowed by energy balance</t>
  </si>
  <si>
    <t>Maximum ratio allowed by energy balance</t>
  </si>
  <si>
    <t>G = ( A + B * F ) / ( C * F )</t>
  </si>
  <si>
    <t>H = G * F</t>
  </si>
  <si>
    <t>I = E * ( A / ( A + B * F ) )</t>
  </si>
  <si>
    <t>J = E - I</t>
  </si>
  <si>
    <t>K = I * 1000 / A</t>
  </si>
  <si>
    <t>L = J * 1000 / B</t>
  </si>
  <si>
    <t>The equations used to calculate emission allocations in the table above are mathematically identical to those in the current WRI default efficiency method.  However, they have been rearranged to allow the user to select a value for the parameter that controls the allocation (the ratio of efficiencies) in a way that is consistent with the energy balance for the CHP system.  The rearrangements have been made so that the assumptions inherrent to the efficiency method, and their implications, are more clear.  The equations make it clear that (a) the parameter that controls the allocation is the ratio of the efficiencies for heat and power generation, and (b) this ratio and the individual efficiencies are constrained by the energy balance.</t>
  </si>
  <si>
    <t>Example: Bark Boiler</t>
  </si>
  <si>
    <t>Bark</t>
  </si>
  <si>
    <t>United States Department of Energy (USDOE).  2003.  Instructions for Form EIA-1605 Voluntary Reporting of Greenhouse Gases For Data Through 2002.  Appendix B, Table B1.  U.S. Department of Energy Voluntary Reporting of Greenhouse Gases Energy Information Administration.  http://www.eia.doe.gov/pub/oiaf/1605/cdrom/pdf/1605INST02.pdf (14 Nov. 2003)</t>
  </si>
  <si>
    <t>* Includes a 2% correction (coal), 1% correction (petroleum products), or 0.5% correction (natural gas) for unoxidized carbon</t>
  </si>
  <si>
    <t xml:space="preserve">Step 4: Sum GHG emissions: </t>
  </si>
  <si>
    <t>59.8 (USDOE 2003)</t>
  </si>
  <si>
    <t>Distillate fuel in boilers
(No.1, No.2, No.4 fuel oil and diesel)</t>
  </si>
  <si>
    <t>Residual fuel oil in boilers
(No.5, No.6 fuel oil)</t>
  </si>
  <si>
    <t>Data for Method 3 - Landfills</t>
  </si>
  <si>
    <t>Waste type</t>
  </si>
  <si>
    <t>Landfill description</t>
  </si>
  <si>
    <t>Example: Landfill A</t>
  </si>
  <si>
    <t>Mill sludge, ash and misc.</t>
  </si>
  <si>
    <t>Quantity of gas collected
[dry standard cubic meters/yr]</t>
  </si>
  <si>
    <t>Efficiency of gas collection system
[default = 0.75]</t>
  </si>
  <si>
    <t>Methane content of gas
[default = 0.5]</t>
  </si>
  <si>
    <t>Fraction of collected gas that is burned
[default = 1.0]</t>
  </si>
  <si>
    <t xml:space="preserve">Methane emissions in metric tons </t>
  </si>
  <si>
    <t>Direct or Indirect - Mobile and Transportation Source Emissions</t>
  </si>
  <si>
    <t>Direct or Indirect Emissions - Waste Management</t>
  </si>
  <si>
    <t>(GJ HHV)</t>
  </si>
  <si>
    <t>IMPORTANT! For equations to function correctly, numerator of emission factors must be in terms of kg of GHG and denominator must match units of fuel quantity!!</t>
  </si>
  <si>
    <t>E = A * B / 1000</t>
  </si>
  <si>
    <t>F = A * C / 1000</t>
  </si>
  <si>
    <t>G = A * D / 1000</t>
  </si>
  <si>
    <t>L2</t>
  </si>
  <si>
    <t>L1</t>
  </si>
  <si>
    <t>Mobile &amp; Transportation</t>
  </si>
  <si>
    <t>Waste Mngmt.</t>
  </si>
  <si>
    <t>H</t>
  </si>
  <si>
    <t>Fraction of uncollected methane that oxidizes in the landfill cover
[default = 0.1]</t>
  </si>
  <si>
    <t>Quantity of methane released
[dry standard cubic meters/yr]</t>
  </si>
  <si>
    <t>G = F * [ 0.72 kg / standard cubic meter ] / 1000</t>
  </si>
  <si>
    <t>First order methane generation rate constant, k
[default for mill waste = 0.03 per year</t>
  </si>
  <si>
    <t>Quantity of methane generated
[dry standard cubic meters/yr]</t>
  </si>
  <si>
    <t>Years since landfill opened</t>
  </si>
  <si>
    <t>Years since landfill stopped receiving waste</t>
  </si>
  <si>
    <t>Methane emissions in cubic meters per year</t>
  </si>
  <si>
    <t>Annual waste deposits
[Dry metric tons / year]</t>
  </si>
  <si>
    <t>Ultimate Methane Potential, Lo, in
cubic meters methane per dry metric ton waste
[default for mill waste = 100 m3/dry Mg]</t>
  </si>
  <si>
    <t>I</t>
  </si>
  <si>
    <t>J</t>
  </si>
  <si>
    <t>Use this space to provide a general description of operational boundaries.</t>
  </si>
  <si>
    <t xml:space="preserve">Sum of mill landfill methane emissions from Methods 1, 2 &amp; 3: </t>
  </si>
  <si>
    <t xml:space="preserve">Use this space to provide additional information helpful to understanding the operational boundaries of the inventory. </t>
  </si>
  <si>
    <t xml:space="preserve">User enters information in spaces with this color  </t>
  </si>
  <si>
    <t>Natural gas (dry) - boilers and IR dryers</t>
  </si>
  <si>
    <t>Distillate fuel 
(No.1, No.2, No.4 fuel oil and diesel)
Mobile sources</t>
  </si>
  <si>
    <t>Step 8</t>
  </si>
  <si>
    <t>Introduction</t>
  </si>
  <si>
    <t>Table of Contents</t>
  </si>
  <si>
    <t>** Not corrected for unoxidized carbon</t>
  </si>
  <si>
    <t>Bituminous coal
Overfeed stoker boiler</t>
  </si>
  <si>
    <t>Bituminous coal
Underfeed stoker boiler</t>
  </si>
  <si>
    <t>Bituminous coal - Pulverized
Dry bottom, wall fired</t>
  </si>
  <si>
    <t>Bituminous coal - Pulverized
Dry bottom, tangential firing</t>
  </si>
  <si>
    <t>Bituminous coal - Pulverized
Wet bottom</t>
  </si>
  <si>
    <t>Bituminous coal
Spreader stoker boiler</t>
  </si>
  <si>
    <t>Bituminous coal - fluidized bed
Circulating or bubbling</t>
  </si>
  <si>
    <t>Sub-bituminous coal
Overfeed stoker boiler</t>
  </si>
  <si>
    <t>Sub-bituminous coal
Underfeed stoker boiler</t>
  </si>
  <si>
    <t>Sub-bituminous coal - fluidized bed
Circulating or bubbling</t>
  </si>
  <si>
    <t>Lignite</t>
  </si>
  <si>
    <t>Based on HHV - normally LHV assumed to be 95% of HHV for biomass fuels</t>
  </si>
  <si>
    <t>Mechanical pulping/refining</t>
  </si>
  <si>
    <t xml:space="preserve">Note:  Use this worksheet to calculate emissions from amount of fuel consumed. </t>
  </si>
  <si>
    <t>Fuel Higher Heating Value (HHV)</t>
  </si>
  <si>
    <t>GJ HHV / metric tonne</t>
  </si>
  <si>
    <t>Peat 
(CH4 and N2O factors are from biomass boilers)</t>
  </si>
  <si>
    <t>Propane**</t>
  </si>
  <si>
    <t>Jet Fuel**</t>
  </si>
  <si>
    <t>Should not be included in GHG inventory.
See Spreadsheet on "Supporting Info. On Biomass"</t>
  </si>
  <si>
    <t>Aviation gasoline**</t>
  </si>
  <si>
    <t>Operations in Inventory</t>
  </si>
  <si>
    <t>Direct - Fuel Combust.</t>
  </si>
  <si>
    <t>E = A * C</t>
  </si>
  <si>
    <t>F = E / 1000</t>
  </si>
  <si>
    <t>MWh</t>
  </si>
  <si>
    <t>Example&gt;&gt;</t>
  </si>
  <si>
    <t>Fraction of landfill gas that is collected</t>
  </si>
  <si>
    <t>K</t>
  </si>
  <si>
    <t>L</t>
  </si>
  <si>
    <t>J = (F*(1-H)*(1-G))+(F*H*(1-I))</t>
  </si>
  <si>
    <t>K = J * [ 0.72 kg / standard cubic meter ] / 1000</t>
  </si>
  <si>
    <t>Fraction of collected landfill gas that is burned</t>
  </si>
  <si>
    <t>D = (A * B) - C</t>
  </si>
  <si>
    <t>C = 1000 * B * 3.664 / A</t>
  </si>
  <si>
    <t>Summarizes results of inventory</t>
  </si>
  <si>
    <t>Name of Inventory</t>
  </si>
  <si>
    <t>General description of inventory boundaries</t>
  </si>
  <si>
    <t>Summary of Inventory Results</t>
  </si>
  <si>
    <t>Direct - Waste Mngmt.</t>
  </si>
  <si>
    <t>CHP Allocation</t>
  </si>
  <si>
    <t>Indirect - Energy Imports</t>
  </si>
  <si>
    <t>Indirect - Energy Exports</t>
  </si>
  <si>
    <t>Summary Table</t>
  </si>
  <si>
    <t>System description</t>
  </si>
  <si>
    <t>Text explanation</t>
  </si>
  <si>
    <t>Factors for converting among common units of measure</t>
  </si>
  <si>
    <t>* Emission factors for purchased electricity can normally be obtained from national authorities or from the supplier of the purchased electricity.
  Emission factors for imported electricity or steam from CHP systems can be determined by the methods outlined in the "CHP Allocation" worksheet.</t>
  </si>
  <si>
    <t>Emission factor for heat production</t>
  </si>
  <si>
    <t>Emission factor for electricity production</t>
  </si>
  <si>
    <t>Step 9</t>
  </si>
  <si>
    <t>Step 10</t>
  </si>
  <si>
    <t>Use methods outlined in "Direct - Fuel Combust."</t>
  </si>
  <si>
    <t>Natural gas (dry) - turbines</t>
  </si>
  <si>
    <t>Optional Calculator</t>
  </si>
  <si>
    <t>E1</t>
  </si>
  <si>
    <t>E2</t>
  </si>
  <si>
    <t>G1</t>
  </si>
  <si>
    <t>G2</t>
  </si>
  <si>
    <t xml:space="preserve"> = Distance traveled</t>
  </si>
  <si>
    <t>Fuel used</t>
  </si>
  <si>
    <t>Energy used</t>
  </si>
  <si>
    <t>Emissions Factor</t>
  </si>
  <si>
    <t xml:space="preserve"> = miles per gallon</t>
  </si>
  <si>
    <t>Type of Fuel Used</t>
  </si>
  <si>
    <t>GJ per Fuel Unit</t>
  </si>
  <si>
    <t>GJ energy</t>
  </si>
  <si>
    <t>metric tonnes</t>
  </si>
  <si>
    <t>kWh</t>
  </si>
  <si>
    <t xml:space="preserve">        OR</t>
  </si>
  <si>
    <t>Amount of</t>
  </si>
  <si>
    <t>Fuel</t>
  </si>
  <si>
    <t>Custom</t>
  </si>
  <si>
    <t>Used</t>
  </si>
  <si>
    <t xml:space="preserve"> = litres per 100 km</t>
  </si>
  <si>
    <t>Source Description</t>
  </si>
  <si>
    <t>fuel used</t>
  </si>
  <si>
    <t>Units</t>
  </si>
  <si>
    <t>Type</t>
  </si>
  <si>
    <t>GJ/unit</t>
  </si>
  <si>
    <t>F = B x E</t>
  </si>
  <si>
    <t>kg CO2/GJ</t>
  </si>
  <si>
    <t>Metric ton  CO2</t>
  </si>
  <si>
    <t>Road transportation</t>
  </si>
  <si>
    <t>Sample fleet</t>
  </si>
  <si>
    <t>US gals</t>
  </si>
  <si>
    <t>Gasoline</t>
  </si>
  <si>
    <t>Imp. gals</t>
  </si>
  <si>
    <t>litres</t>
  </si>
  <si>
    <t>Metric tonnes</t>
  </si>
  <si>
    <t>Diesel</t>
  </si>
  <si>
    <t>lbs.</t>
  </si>
  <si>
    <t>CNG</t>
  </si>
  <si>
    <t>kg</t>
  </si>
  <si>
    <t xml:space="preserve">Rail transportation </t>
  </si>
  <si>
    <t>Imp gals</t>
  </si>
  <si>
    <t>Barrels</t>
  </si>
  <si>
    <t>Short tons</t>
  </si>
  <si>
    <t>Other fuel</t>
  </si>
  <si>
    <t xml:space="preserve">Water transportation </t>
  </si>
  <si>
    <t>Last row above totals enter no data here</t>
  </si>
  <si>
    <t>Residual Fuel oil#4</t>
  </si>
  <si>
    <t>Residual Fuel oil#5</t>
  </si>
  <si>
    <t>Residual Fuel oil#6</t>
  </si>
  <si>
    <t>Sub-bituminous coal</t>
  </si>
  <si>
    <t>Additional Information on Biomass</t>
  </si>
  <si>
    <t xml:space="preserve">Any increases or decreases in the amount of carbon sequestered by the forests are accounted for in the comprehensive forest accounting system.  This is the approach generally prescribed for national inventories by the United Nations Framework Convention on Climate Change.  Most international protocols including that of the Intergovernmental Panel on Climate Change (IPCC) have adopted the convention set out by the United Nations. </t>
  </si>
  <si>
    <t xml:space="preserve">Estimated Biomass Emissions:
The information reported below on biomass emissions is being supplied:
 To ensure that readers understand the entity’s overall energy profile in terms of both greenhouse gas emissions, and non-greenhouse gas emissions, and
 To provide awareness and understanding of how biomass fuels are generated and used in the manufacture of wood products.
Also, note that the information reported below is in conformance with the general greenhouse gas protocol designed by the World Resources Institute and the World Business Council for Sustainable Development.  Users of these calculation tools may elect to modify the format and type of information presented based on specific facility or company needs.
</t>
  </si>
  <si>
    <t>Additional Information on Biomass Carbon Emissions from Combustion of Wood or Bark</t>
  </si>
  <si>
    <t>Metric Tonne /year</t>
  </si>
  <si>
    <t>F1</t>
  </si>
  <si>
    <t>Unit used to measure quantitiy of fuel use
[Note: Be careful not to mix HHVs and LHVs.]</t>
  </si>
  <si>
    <t>This worksheet is for showing which operations are included in the inventory</t>
  </si>
  <si>
    <t>Place an "X" below where appropriate to indentify operations included in the inventory</t>
  </si>
  <si>
    <t>Natural gas*</t>
  </si>
  <si>
    <t>** calculated based on LHV values contained in Revised 1996 IPCC Guidelines for National Greenhouse Gas Inventories:  Reference Manual Volume 3, Table 1-13; converted to HHV values based on the assumption that, for biomass fuels, LHV is 95% of HHV.</t>
  </si>
  <si>
    <t>Natural gas***</t>
  </si>
  <si>
    <t>Unless noted otherwise, all emission factors are from:  Intergovernmental Panel on Climate Change (IPCC).  1997.  Revised 1996 IPCC guidelines for national greenhouse gas inventories:  Reference manual (volume 3).  IPCC National Greenhouse Gas Inventory Program.  http://www.ipcc-nggip.iges.or.jp/public/gl/invs6.htm ( as of 2 July 2003).
Converted from a LHV basis to a HHV basis using relations described in the report Calculation Tools for Estimating Greenhouse Gas Emissions from Wood Products Maufacturing Facilities</t>
  </si>
  <si>
    <t>*Emission factors include a 2% correction (coal), 1% correction (petroleum products), or 0.5% correction (natural gas) for unoxidized carbon</t>
  </si>
  <si>
    <t>0.0362 GJ/liter</t>
  </si>
  <si>
    <t>0.0382 GJ/liter</t>
  </si>
  <si>
    <t>0.0390 GJ/liter</t>
  </si>
  <si>
    <t>0.0418 GJ/liter</t>
  </si>
  <si>
    <t>0.0427 GJ/liter</t>
  </si>
  <si>
    <t>0.0262 GJ/liter</t>
  </si>
  <si>
    <t>0.0252 GJ/liter</t>
  </si>
  <si>
    <t>0.0399 GJ/liter</t>
  </si>
  <si>
    <t>0.897 kg/liter</t>
  </si>
  <si>
    <t>Residual #4</t>
  </si>
  <si>
    <t>Bituminous Coal</t>
  </si>
  <si>
    <t>GJ HHV /unit</t>
  </si>
  <si>
    <t>kg CO2/GJ HHV</t>
  </si>
  <si>
    <t>From API</t>
  </si>
  <si>
    <t>Higher heating values and densities from American Petroleum Institute (API), Compendium of Greenhouse Gas Emissions Estimation Methodologies for the Oil &amp; Gas Industry (Pilot Test Version), 2001</t>
  </si>
  <si>
    <t>H1 =A2xFxG/1000</t>
  </si>
  <si>
    <t>H2 =(1-A2)xFxG/1000</t>
  </si>
  <si>
    <t>CO2 factors are Tier 1, CH4 and N2O factors are Tier 2 unless noted otherwise</t>
  </si>
  <si>
    <t>(Corrected for unoxidized carbon unless noted otherwise)</t>
  </si>
  <si>
    <t>Gasoline / petrol
Mobile 4-stroke engines</t>
  </si>
  <si>
    <t>Gasoline / petrol
Mobile 2-stroke engines, general</t>
  </si>
  <si>
    <t>67.2 (USDOE 2003)</t>
  </si>
  <si>
    <t>65.7 (USDOE 2003)</t>
  </si>
  <si>
    <t>*Includes a 2% correction (coal), 1% correction (petroleum products), or 0.5% correction (natural gas) for unoxidized carbon</t>
  </si>
  <si>
    <t xml:space="preserve">Sources:  </t>
  </si>
  <si>
    <t>Emission factors for mobile sources from IPCC</t>
  </si>
  <si>
    <t>*Emission factor includes a 2% correction (coal), 1% correction (petroleum products), or 0.5% correction (natural gas) for unoxidized carbon</t>
  </si>
  <si>
    <t>F2</t>
  </si>
  <si>
    <t>An aid to developing estimates using the methods in "Calculation tools for estimating greenhouse gas emissions from wood products manufacturing facilities," Report Version 1.0</t>
  </si>
  <si>
    <t>The example reporting format provided in the "Calculation tools for estimating greehouse gas emissions from wood products manufacturing facilities" can be achieved by printing the following completed worksheets:</t>
  </si>
  <si>
    <t>( GJ HHV/liter ) if not otherwise mentioned</t>
  </si>
  <si>
    <t>( kg/liter ) if not otherwise mentioned</t>
  </si>
  <si>
    <t>Source (unless otherwise noted): American Petroleum Institute (API), Compendium of Greenhouse Gas Emissions Estimation Methodologies for the Oil &amp; Gas Industry (Pilot Test Version), 2001.  Units converted to SI</t>
  </si>
  <si>
    <t>0.0115 GJ / kg</t>
  </si>
  <si>
    <t>0.0290 GJ / kg</t>
  </si>
  <si>
    <t>0.0314 GJ / kg</t>
  </si>
  <si>
    <t>0.0203 GJ / kg</t>
  </si>
  <si>
    <t>0.0151 GJ / kg</t>
  </si>
  <si>
    <t>0.0295 GJ / kg</t>
  </si>
  <si>
    <t>0.0163 GJ / kg</t>
  </si>
  <si>
    <t>0.0175 GJ / kg</t>
  </si>
  <si>
    <t>0.0211 GJ / kg</t>
  </si>
  <si>
    <t>0.542 (liquid)</t>
  </si>
  <si>
    <t>0.580 (liquid)</t>
  </si>
  <si>
    <t>0.508 (liquid)</t>
  </si>
  <si>
    <t>GJ  (HHV)</t>
  </si>
  <si>
    <t>The following information is not directly used in the GHG emissions calculations but is intended to provide clarification of the type of facility for which the inventory is being performed.</t>
  </si>
  <si>
    <t>Year of Placement
(auto-calculated from information entered above in cells G54 and G55)</t>
  </si>
  <si>
    <t>1 gallon (US liquid - gal)</t>
  </si>
  <si>
    <t>Wood/chip/bark/other raw material transportation vehicles</t>
  </si>
  <si>
    <t>Air emissions control devices (e.g., RTOs, RCOs, ESPs, etc.)</t>
  </si>
  <si>
    <t>Thermal oil heaters</t>
  </si>
  <si>
    <t>Natural gas direct-fired dryers</t>
  </si>
  <si>
    <t>Direct</t>
  </si>
  <si>
    <t>Indirect</t>
  </si>
  <si>
    <t>1 metric tonne</t>
  </si>
  <si>
    <t>0.0004536 metric tonnes</t>
  </si>
  <si>
    <t>1 metric tonne carbon</t>
  </si>
  <si>
    <r>
      <t>3.664 metric tonnes CO</t>
    </r>
    <r>
      <rPr>
        <vertAlign val="subscript"/>
        <sz val="12"/>
        <rFont val="Arial"/>
        <family val="2"/>
      </rPr>
      <t>2</t>
    </r>
  </si>
  <si>
    <t>0.06895 bar</t>
  </si>
  <si>
    <t>0.9807 bar</t>
  </si>
  <si>
    <t>1.01325 bar</t>
  </si>
  <si>
    <t>H1 = A1 * G</t>
  </si>
  <si>
    <t>H2 = (1-A1) * G</t>
  </si>
  <si>
    <t>L1 = A1 * K</t>
  </si>
  <si>
    <t>L2 = (1-A1) * K</t>
  </si>
  <si>
    <t>G1 = A1 * F</t>
  </si>
  <si>
    <t>G2 = (1-A1) * F</t>
  </si>
  <si>
    <t>F1 = A1 * E</t>
  </si>
  <si>
    <t>F2 = (1-A1) * E</t>
  </si>
  <si>
    <t>Explain source or basis of emission factors for estimating emissions from imported electricity or steam</t>
  </si>
  <si>
    <t>Step 4: Sum GHG emissions:</t>
  </si>
  <si>
    <t>should be reported in scope 2 as indirect emissions.</t>
  </si>
  <si>
    <t>F = B * E / A</t>
  </si>
  <si>
    <t>G = C * E / A</t>
  </si>
  <si>
    <t>H = D * E / A</t>
  </si>
  <si>
    <t>Direct emissions from stationary fuel combustion</t>
  </si>
  <si>
    <t>Direct emissions attributable to exports of steam and power (a subset of direct emissions from stationary combustion)</t>
  </si>
  <si>
    <t>Direct emissions from transportation and mobile sources</t>
  </si>
  <si>
    <t>Direct emissions from waste management</t>
  </si>
  <si>
    <t>N/A</t>
  </si>
  <si>
    <t>Total direct emissions</t>
  </si>
  <si>
    <t>Indirect emissions from steam and power imports</t>
  </si>
  <si>
    <t>Indirect emissions from transportation and mobile sources</t>
  </si>
  <si>
    <t>Indirect emissions from waste management</t>
  </si>
  <si>
    <t>Total indirect emissions</t>
  </si>
  <si>
    <t xml:space="preserve">1 </t>
  </si>
  <si>
    <t xml:space="preserve">2 </t>
  </si>
  <si>
    <t xml:space="preserve">3 </t>
  </si>
  <si>
    <t>Direct - Mobile &amp; Transportation</t>
  </si>
  <si>
    <t>GHG emission impacts associated with electricity and /or steam exports</t>
  </si>
  <si>
    <t>Electricity and/or steam imports</t>
  </si>
  <si>
    <t>Natural gas (dry)</t>
  </si>
  <si>
    <t>Natural gas (dry) - Int. Comb. Engine
2 - cycle lean burn</t>
  </si>
  <si>
    <t>Natural gas (dry) - Int. Comb. Engine
4 - cycle lean burn</t>
  </si>
  <si>
    <t>Natural gas (dry) - Int. Comb. Engine
4 - cycle rich burn</t>
  </si>
  <si>
    <t>Supporting Information on Biomass</t>
  </si>
  <si>
    <t>EXPLANATION OF CELL COLOR SCHEME</t>
  </si>
  <si>
    <t xml:space="preserve">Note:  </t>
  </si>
  <si>
    <t>Supporting Info. on Biomass</t>
  </si>
  <si>
    <t>Carbon intensity of power on the grid into which the export occurred
(applies to electricity only)</t>
  </si>
  <si>
    <t>Direct Emissions - Stationary Fuel Combustion</t>
  </si>
  <si>
    <t>Example &gt;&gt;&gt;</t>
  </si>
  <si>
    <t>Direct Emission Impacts</t>
  </si>
  <si>
    <t>Indirect Emission Impacts</t>
  </si>
  <si>
    <t>Total transportation emissons based on fuel use &gt;&gt;&gt;</t>
  </si>
  <si>
    <t>Note: Do not double count emissions by estimating the same fuel consumption by two different methods above.</t>
  </si>
  <si>
    <t>&lt;&lt;&lt; enter this value</t>
  </si>
  <si>
    <t>&lt;&lt;&lt; enter one of these</t>
  </si>
  <si>
    <t>&lt;&lt;&lt; calculated</t>
  </si>
  <si>
    <t>Energy content (HHV)</t>
  </si>
  <si>
    <t>Emissions Associated with Exports of Electricity and Steam</t>
  </si>
  <si>
    <t>Carbon intensity of exported power or steam</t>
  </si>
  <si>
    <t>kg CO2 per GJ</t>
  </si>
  <si>
    <t>From IPCC*</t>
  </si>
  <si>
    <t xml:space="preserve">Use this space to provide additional information helpful to understanding how emissions from partial ownership situations are allocated. </t>
  </si>
  <si>
    <t>GHG emissions resulting from electricity and /or steam imports</t>
  </si>
  <si>
    <t>CHP allocation</t>
  </si>
  <si>
    <t>Allocation emissions from combined heat and power systems</t>
  </si>
  <si>
    <t>Describing the inventory boundaries and listing the operations included in the inventory</t>
  </si>
  <si>
    <t>Combined heat and power:  
Allocating emissions based on the efficiency of heat and power production</t>
  </si>
  <si>
    <t>Indirect Emissions</t>
  </si>
  <si>
    <t>Operations in the Inventory</t>
  </si>
  <si>
    <t>Indirect Emissions from electricity and steam imports</t>
  </si>
  <si>
    <t>Note:  If a facility is using all of the energy outputs of a CHP system, there is no need to allocate the emissions.</t>
  </si>
  <si>
    <t>Note: Scroll down the page to find the spreadsheet for anaerobic treatment systems</t>
  </si>
  <si>
    <t>NOTE: If the gas collection system is highly efficient and all gas is burned, the direct GHG emissions can be assumed to be zero.</t>
  </si>
  <si>
    <t>Efficiency of gas collection system
[default = 1.0]</t>
  </si>
  <si>
    <t>F = E * [ 0.72 kg / standard cubic meter ] / 1000</t>
  </si>
  <si>
    <t>E=((A/B)*(1-B)*D)+(A*D*(1-C))</t>
  </si>
  <si>
    <t>Example: System A</t>
  </si>
  <si>
    <t>Anaerobic treatment system</t>
  </si>
  <si>
    <t xml:space="preserve">Step 3: Sum mill landfill methane emissions from Method 2: </t>
  </si>
  <si>
    <t xml:space="preserve">Step 2: Sum mill landfill methane emissions from Method 1: </t>
  </si>
  <si>
    <t xml:space="preserve">Step 2: Sum anaerobic wastewater or sludge treatment methane emissions from Method 1: </t>
  </si>
  <si>
    <t>Example: System B</t>
  </si>
  <si>
    <t>Amount of organic matter sent to treatment per year
[kg BOD or COD per year]</t>
  </si>
  <si>
    <t>Year Emissions Estimated</t>
  </si>
  <si>
    <t>Methane emission factor
[default for mill wastes = 0.25 kg methane per kg COD in the feed or
0.60 kg methane per kg BOD in the feed.
Units must match column A]</t>
  </si>
  <si>
    <t>Amount of methane captured and burned
[kg methane / yr]</t>
  </si>
  <si>
    <t>Quantity of methane released
[kg methane / yr]</t>
  </si>
  <si>
    <t>E = D / 1000</t>
  </si>
  <si>
    <t xml:space="preserve">Step 2: Sum anaerobic wastewater or sludge treatment methane emissions from Method 2: </t>
  </si>
  <si>
    <t xml:space="preserve">Sum anaerobic wastewater or sludge treatment methane emissions from Methods 1 and 2: </t>
  </si>
  <si>
    <t>Sum of emissions from landfills &gt;&gt;</t>
  </si>
  <si>
    <t>Sum of emissions from anaerobic wastewater treatment and sludge digestion systems &gt;&gt;</t>
  </si>
  <si>
    <t>Identifying name assigned to this inventory:</t>
  </si>
  <si>
    <t>A</t>
  </si>
  <si>
    <t>B</t>
  </si>
  <si>
    <t>D</t>
  </si>
  <si>
    <t>E</t>
  </si>
  <si>
    <t>LPG</t>
  </si>
  <si>
    <t>Anthracite</t>
  </si>
  <si>
    <t>F</t>
  </si>
  <si>
    <t>C</t>
  </si>
  <si>
    <t>Total electricity/steam production by generator</t>
  </si>
  <si>
    <t>Electricity/steam exports from generator</t>
  </si>
  <si>
    <t>Energy</t>
  </si>
  <si>
    <t>Conversion Factors</t>
  </si>
  <si>
    <t>Carbon Content</t>
  </si>
  <si>
    <t>Emission Factor</t>
  </si>
  <si>
    <t>Fuel type</t>
  </si>
  <si>
    <t>G</t>
  </si>
  <si>
    <t>Source description</t>
  </si>
  <si>
    <t>Kerosene</t>
  </si>
  <si>
    <t>Propane</t>
  </si>
  <si>
    <t>Natural gas</t>
  </si>
  <si>
    <t>Exports of electrical power</t>
  </si>
  <si>
    <t>Imports of electrical power</t>
  </si>
  <si>
    <t>Imports of steam or hot water</t>
  </si>
  <si>
    <t>Exports of steam or hot water</t>
  </si>
  <si>
    <t>Fraction of total emissions claimed as direct for this entry (between 0 and 1)</t>
  </si>
  <si>
    <t>Direct Emissions</t>
  </si>
  <si>
    <t>A1</t>
  </si>
  <si>
    <t>A2</t>
  </si>
  <si>
    <t>H1</t>
  </si>
  <si>
    <t>H2</t>
  </si>
  <si>
    <t>Notes</t>
  </si>
  <si>
    <t>Natural Gas
Other Combustion Devices</t>
  </si>
  <si>
    <t>CH4 factor is Tier 1
N2O factor is Tier 1</t>
  </si>
  <si>
    <t>Median values determined from a data set originating from a variety of sources, see Table 6, Section 9.2 of Calculation Tools for Estimating Greenhouse Gas Emissions from Wood Products Manufacturing Facilities.</t>
  </si>
  <si>
    <t>Based on information in WRI/WBCSD Calculation tools</t>
  </si>
  <si>
    <t>Residual fuel oil No.4</t>
  </si>
  <si>
    <t>F=((A2/B)*(1-B)*D*(1-E))+(A*D*(1-C))</t>
  </si>
  <si>
    <t>F = A2 * B * (e^(-k*E) - e^(-k*D))</t>
  </si>
  <si>
    <t>Emission factors from Revised 1996 IPCC Guidelines for National Greenhouse Gas Inventories: Workbook (Volume 2), if not otherwise noted.</t>
  </si>
  <si>
    <t>kg CO2 / GJ HHV*</t>
  </si>
  <si>
    <t>(units converted)</t>
  </si>
  <si>
    <t>0.0376 GJ/liter</t>
  </si>
  <si>
    <t>0.0290 GJ/kg</t>
  </si>
  <si>
    <t>0.0314 GJ/kg</t>
  </si>
  <si>
    <t>0.739 kg/liter</t>
  </si>
  <si>
    <t>0.81 kg/liter</t>
  </si>
  <si>
    <t>0.851 kg/liter</t>
  </si>
  <si>
    <t>0.845 kg/liter</t>
  </si>
  <si>
    <t>0.95 kg/liter</t>
  </si>
  <si>
    <t>1.01 kg/liter</t>
  </si>
  <si>
    <t>0.542 kg/liter (liquid)</t>
  </si>
  <si>
    <t>0.508 kg/liter (liquid)</t>
  </si>
  <si>
    <t xml:space="preserve">Part 2.  Emissions Associated with Mobile Equipment Based on Fuel Consumption </t>
  </si>
  <si>
    <t xml:space="preserve">Part 1.  Transportation Emissions Calculated from Fuel Used:  All Modes of Transport </t>
  </si>
  <si>
    <t>Fuel Combustion in mobile devices such as harvesting equipment</t>
  </si>
  <si>
    <t>(kg CO2/GJ HHV)</t>
  </si>
  <si>
    <t>E = A1 × A2 × B / 1000</t>
  </si>
  <si>
    <t>F = A1 × A2 × C / 1000</t>
  </si>
  <si>
    <t>E = A1 × A2 × D / 1000</t>
  </si>
  <si>
    <t>H = (1-A1) × A2 × B / 1000</t>
  </si>
  <si>
    <t>I = (1-A1) × A2 × C / 1000</t>
  </si>
  <si>
    <t>J = (1-A1) × A2 × D / 1000</t>
  </si>
  <si>
    <t>DIRECT EMISSIONS</t>
  </si>
  <si>
    <t>INDIRECT EMISSIONS</t>
  </si>
  <si>
    <t xml:space="preserve">Total emissions from mobile equipment: </t>
  </si>
  <si>
    <t>Grand Total of all Mobil and Transportation Emissions (sum of results from Parts 1 and 2):</t>
  </si>
  <si>
    <t>Gaseous fossil</t>
  </si>
  <si>
    <t>Liquid fossil</t>
  </si>
  <si>
    <t>Solid fossil</t>
  </si>
  <si>
    <t>Butane</t>
  </si>
  <si>
    <t>Bituminous coal</t>
  </si>
  <si>
    <t>Gasoline / petrol</t>
  </si>
  <si>
    <t>Higher heating value</t>
  </si>
  <si>
    <t>Carbon, % by weight</t>
  </si>
  <si>
    <t>Typical density</t>
  </si>
  <si>
    <t>Distillate fuel oil No.1</t>
  </si>
  <si>
    <t>Distillate fuel oil No.2</t>
  </si>
  <si>
    <t>Residual fuel oil No.5</t>
  </si>
  <si>
    <t>Residual fuel oil No.6</t>
  </si>
  <si>
    <t>69.4 wt% C (92.5 wt% CH4)</t>
  </si>
  <si>
    <t>Coke</t>
  </si>
  <si>
    <t>1 kilogram (kg)</t>
  </si>
  <si>
    <t>Mass</t>
  </si>
  <si>
    <t>1 pound (lb)</t>
  </si>
  <si>
    <t>453.6 grams (g)</t>
  </si>
  <si>
    <t>2.205 pounds (lb)</t>
  </si>
  <si>
    <t>1 short ton (ton)</t>
  </si>
  <si>
    <t>907.2 kilograms (kg)</t>
  </si>
  <si>
    <t>Volume</t>
  </si>
  <si>
    <t>7.4805 gallons (gal)</t>
  </si>
  <si>
    <t>0.1781 barrel (bbl)</t>
  </si>
  <si>
    <t>28.32 liters (L)</t>
  </si>
  <si>
    <t>3.785 liters (L)</t>
  </si>
  <si>
    <t>0.0238 barrel (bbl)</t>
  </si>
  <si>
    <t>1 barrel (bbl)</t>
  </si>
  <si>
    <t>42 gallons (gal)</t>
  </si>
  <si>
    <t>Indirect emission impacts related to electricity and steam exports</t>
  </si>
  <si>
    <t>The indirect emissions impact is based on amount of emissions associated with producing the exported power or steam</t>
  </si>
  <si>
    <t>Efficiency of heat production divided by efficiency of power production (default ratio of 0.8/.35=2.29)</t>
  </si>
  <si>
    <t>1.1023 short tons (tons)</t>
  </si>
  <si>
    <t>158.99 liters (L)</t>
  </si>
  <si>
    <t>1 litre (L)</t>
  </si>
  <si>
    <t>0.2642 gallons (gal)</t>
  </si>
  <si>
    <t>6.2897 barrels (bbl)</t>
  </si>
  <si>
    <t>264.2 gallons (gal)</t>
  </si>
  <si>
    <t>1 kilowatt hour (kWh)</t>
  </si>
  <si>
    <t>3412 Btu (btu)</t>
  </si>
  <si>
    <t>1 gigajoule (GJ)</t>
  </si>
  <si>
    <t>1.055 gigajoules (GJ)</t>
  </si>
  <si>
    <t>293 kilowatt hours (kWh)</t>
  </si>
  <si>
    <t>1 Btu (btu)</t>
  </si>
  <si>
    <t>1 million Btu (million btu)</t>
  </si>
  <si>
    <t>1 megajoule (MJ)</t>
  </si>
  <si>
    <t>0.001 gigajoules (GJ)</t>
  </si>
  <si>
    <t>0.9478 million Btu (million btu)</t>
  </si>
  <si>
    <t>277.8 kilowatt hours (kWh)</t>
  </si>
  <si>
    <t>Other</t>
  </si>
  <si>
    <t>Step 1</t>
  </si>
  <si>
    <t>1 therm (therm)</t>
  </si>
  <si>
    <t>0.1055 gigajoules (GJ)</t>
  </si>
  <si>
    <t>29.3 kilowatt hours (kWh)</t>
  </si>
  <si>
    <t>1 mile (statue)</t>
  </si>
  <si>
    <t>1.609 kilometers</t>
  </si>
  <si>
    <t>1 atmosphere (atm)</t>
  </si>
  <si>
    <t>14.696 pounds per square inch (psia)</t>
  </si>
  <si>
    <t>101.325 kilo pascals</t>
  </si>
  <si>
    <r>
      <t xml:space="preserve">1 kgf / cm </t>
    </r>
    <r>
      <rPr>
        <vertAlign val="superscript"/>
        <sz val="12"/>
        <rFont val="Arial"/>
        <family val="2"/>
      </rPr>
      <t>3</t>
    </r>
    <r>
      <rPr>
        <sz val="12"/>
        <rFont val="Arial"/>
        <family val="2"/>
      </rPr>
      <t xml:space="preserve"> (tech atm)</t>
    </r>
  </si>
  <si>
    <t>1 psi</t>
  </si>
  <si>
    <t>kilo</t>
  </si>
  <si>
    <t>mega</t>
  </si>
  <si>
    <t>giga</t>
  </si>
  <si>
    <t>tera</t>
  </si>
  <si>
    <t>Step 2</t>
  </si>
  <si>
    <t>Step 3</t>
  </si>
  <si>
    <t>Step 4</t>
  </si>
  <si>
    <t>Stream description</t>
  </si>
  <si>
    <t>2,000 pounds (lb)</t>
  </si>
  <si>
    <t>2,205 pounds (lb)</t>
  </si>
  <si>
    <t>1,000 kilograms (kg)</t>
  </si>
  <si>
    <t>1,000 liters (L)</t>
  </si>
  <si>
    <t>3,600 kilojoules (KJ)</t>
  </si>
  <si>
    <t>1,055 joules (J)</t>
  </si>
  <si>
    <t xml:space="preserve">100,000 btu </t>
  </si>
  <si>
    <t>1,000</t>
  </si>
  <si>
    <t>1,000,000</t>
  </si>
  <si>
    <t>1,000,000,000</t>
  </si>
  <si>
    <t>1,000,000,000,000</t>
  </si>
  <si>
    <t>Electricity and/or steam Import</t>
  </si>
  <si>
    <t>Step 5</t>
  </si>
  <si>
    <t>Step 6</t>
  </si>
  <si>
    <t>Step 7</t>
  </si>
  <si>
    <r>
      <t xml:space="preserve">1 cubic foot (ft </t>
    </r>
    <r>
      <rPr>
        <vertAlign val="superscript"/>
        <sz val="12"/>
        <rFont val="Arial"/>
        <family val="2"/>
      </rPr>
      <t>3</t>
    </r>
    <r>
      <rPr>
        <sz val="12"/>
        <rFont val="Arial"/>
        <family val="2"/>
      </rPr>
      <t>)</t>
    </r>
  </si>
  <si>
    <r>
      <t xml:space="preserve">1 cubic meter (m </t>
    </r>
    <r>
      <rPr>
        <vertAlign val="superscript"/>
        <sz val="12"/>
        <rFont val="Arial"/>
        <family val="2"/>
      </rPr>
      <t>3</t>
    </r>
    <r>
      <rPr>
        <sz val="12"/>
        <rFont val="Arial"/>
        <family val="2"/>
      </rPr>
      <t>)</t>
    </r>
  </si>
  <si>
    <r>
      <t xml:space="preserve">0.001 cubic meters (m </t>
    </r>
    <r>
      <rPr>
        <vertAlign val="superscript"/>
        <sz val="12"/>
        <rFont val="Arial"/>
        <family val="2"/>
      </rPr>
      <t>3</t>
    </r>
    <r>
      <rPr>
        <sz val="12"/>
        <rFont val="Arial"/>
        <family val="2"/>
      </rPr>
      <t>)</t>
    </r>
  </si>
  <si>
    <r>
      <t xml:space="preserve">0.02832 cubic meters (m </t>
    </r>
    <r>
      <rPr>
        <vertAlign val="superscript"/>
        <sz val="12"/>
        <rFont val="Arial"/>
        <family val="2"/>
      </rPr>
      <t>3</t>
    </r>
    <r>
      <rPr>
        <sz val="12"/>
        <rFont val="Arial"/>
        <family val="2"/>
      </rPr>
      <t>)</t>
    </r>
  </si>
  <si>
    <r>
      <t xml:space="preserve">0.1589 cubic meters (m </t>
    </r>
    <r>
      <rPr>
        <vertAlign val="superscript"/>
        <sz val="12"/>
        <rFont val="Arial"/>
        <family val="2"/>
      </rPr>
      <t>3</t>
    </r>
    <r>
      <rPr>
        <sz val="12"/>
        <rFont val="Arial"/>
        <family val="2"/>
      </rPr>
      <t>)</t>
    </r>
  </si>
  <si>
    <r>
      <t xml:space="preserve">0.003785 cubic meters (m </t>
    </r>
    <r>
      <rPr>
        <vertAlign val="superscript"/>
        <sz val="12"/>
        <rFont val="Arial"/>
        <family val="2"/>
      </rPr>
      <t>3</t>
    </r>
    <r>
      <rPr>
        <sz val="12"/>
        <rFont val="Arial"/>
        <family val="2"/>
      </rPr>
      <t>)</t>
    </r>
  </si>
  <si>
    <t>Name of worksheet</t>
  </si>
  <si>
    <t>Content / purpose</t>
  </si>
  <si>
    <t>Custom Emission Factors</t>
  </si>
  <si>
    <t xml:space="preserve">C </t>
  </si>
  <si>
    <t>Quantity of fuel burned</t>
  </si>
  <si>
    <t>Example: Source 1</t>
  </si>
  <si>
    <t>Sources:</t>
  </si>
  <si>
    <t>Calculating custom emission factors</t>
  </si>
  <si>
    <t>0.4536 kilograms (kg)</t>
  </si>
  <si>
    <t>Wood and wood waste</t>
  </si>
  <si>
    <t>Fuel Type</t>
  </si>
  <si>
    <t>Biofuels</t>
  </si>
  <si>
    <t>P  Power output</t>
  </si>
  <si>
    <t>H  Heat output (district heat, process heat, other steam)</t>
  </si>
  <si>
    <t>(GJ, BTU or kWh)</t>
  </si>
  <si>
    <t>(same unit as in column A)</t>
  </si>
  <si>
    <t xml:space="preserve">E </t>
  </si>
  <si>
    <t>(% w/w)</t>
  </si>
  <si>
    <t>Last year that material was deposited in landfill (or that data is available):</t>
  </si>
  <si>
    <t>First year that material was deposited in landfill (or that data is available):</t>
  </si>
  <si>
    <t>Quantity Placed
[Dry metric tons]</t>
  </si>
  <si>
    <t>First order methane generation rate constant, k
[default for mill waste
k = 0.03/yr]</t>
  </si>
  <si>
    <t>Year of interest for emission estimate:</t>
  </si>
  <si>
    <t>Resinated Wood Residuals</t>
  </si>
  <si>
    <t xml:space="preserve">This should be entered as a fraction, i.e. 0 &gt; x &gt; 1 </t>
  </si>
  <si>
    <t>Energy Content</t>
  </si>
  <si>
    <t>Fuel specific higher heating values</t>
  </si>
  <si>
    <t>Harvesting</t>
  </si>
  <si>
    <t>Product, by-product or waste transportation vehicles</t>
  </si>
  <si>
    <t>Debarking</t>
  </si>
  <si>
    <t>Chipping</t>
  </si>
  <si>
    <t>On-site power and steam boilers</t>
  </si>
  <si>
    <t>On-site combustion turbines</t>
  </si>
  <si>
    <t>Other fossil fuel-fired dryers</t>
  </si>
  <si>
    <t>Wastewater treatment operations</t>
  </si>
  <si>
    <t>Sludge processing</t>
  </si>
  <si>
    <t>Higher Heating Values</t>
  </si>
  <si>
    <t>Landfill receiving mill waste</t>
  </si>
  <si>
    <t>On-site vehicles and machinery</t>
  </si>
  <si>
    <t>Normal offices/workspace for mill employees</t>
  </si>
  <si>
    <t>Other Operation – describe:</t>
  </si>
  <si>
    <t>Core Operations that might be included in the inventory are listed below</t>
  </si>
  <si>
    <t>Global Warming Potentials from IPCC Assessment Reports</t>
  </si>
  <si>
    <t>20 year time horizon</t>
  </si>
  <si>
    <t>100 year time horizon</t>
  </si>
  <si>
    <t>500 year time horizon</t>
  </si>
  <si>
    <t>Species</t>
  </si>
  <si>
    <t>Chemical formula</t>
  </si>
  <si>
    <t>SAR (AR2)</t>
  </si>
  <si>
    <t>TAR (AR3)</t>
  </si>
  <si>
    <t>AR4</t>
  </si>
  <si>
    <t>AR5</t>
  </si>
  <si>
    <t>AR6</t>
  </si>
  <si>
    <t>Carbon dioxide</t>
  </si>
  <si>
    <r>
      <t>CO</t>
    </r>
    <r>
      <rPr>
        <vertAlign val="subscript"/>
        <sz val="11"/>
        <color theme="1"/>
        <rFont val="Calibri"/>
        <family val="2"/>
        <scheme val="minor"/>
      </rPr>
      <t>2</t>
    </r>
  </si>
  <si>
    <t>Methane</t>
  </si>
  <si>
    <r>
      <t>CH</t>
    </r>
    <r>
      <rPr>
        <vertAlign val="subscript"/>
        <sz val="11"/>
        <color theme="1"/>
        <rFont val="Calibri"/>
        <family val="2"/>
        <scheme val="minor"/>
      </rPr>
      <t>4</t>
    </r>
  </si>
  <si>
    <t>Methane, fossil origin</t>
  </si>
  <si>
    <t>Methane, non-fossil origin</t>
  </si>
  <si>
    <t>Nitrous oxide</t>
  </si>
  <si>
    <r>
      <t>N</t>
    </r>
    <r>
      <rPr>
        <vertAlign val="subscript"/>
        <sz val="11"/>
        <color theme="1"/>
        <rFont val="Calibri"/>
        <family val="2"/>
        <scheme val="minor"/>
      </rPr>
      <t>2</t>
    </r>
    <r>
      <rPr>
        <sz val="10"/>
        <rFont val="Arial"/>
        <family val="2"/>
      </rPr>
      <t>O</t>
    </r>
  </si>
  <si>
    <t>IPCC Assessment Report</t>
  </si>
  <si>
    <t xml:space="preserve">Year </t>
  </si>
  <si>
    <t>Link</t>
  </si>
  <si>
    <t>https://www.ipcc.ch/report/ar6/wg1/downloads/report/IPCC_AR6_WGI_Full_Report.pdf</t>
  </si>
  <si>
    <t>https://www.ipcc.ch/site/assets/uploads/2018/02/WG1AR5_all_final.pdf</t>
  </si>
  <si>
    <t>https://www.ipcc.ch/site/assets/uploads/2018/05/ar4_wg1_full_report-1.pdf</t>
  </si>
  <si>
    <t>https://www.ipcc.ch/site/assets/uploads/2018/03/WGI_TAR_full_report.pdf</t>
  </si>
  <si>
    <t>https://www.ipcc.ch/site/assets/uploads/2018/02/ipcc_sar_wg_I_full_report.pdf</t>
  </si>
  <si>
    <r>
      <t>kg CO</t>
    </r>
    <r>
      <rPr>
        <vertAlign val="subscript"/>
        <sz val="12"/>
        <rFont val="Calibri"/>
        <family val="2"/>
        <scheme val="minor"/>
      </rPr>
      <t>2</t>
    </r>
    <r>
      <rPr>
        <sz val="12"/>
        <rFont val="Calibri"/>
        <family val="2"/>
        <scheme val="minor"/>
      </rPr>
      <t xml:space="preserve"> eq./kg CH</t>
    </r>
    <r>
      <rPr>
        <vertAlign val="subscript"/>
        <sz val="12"/>
        <rFont val="Calibri"/>
        <family val="2"/>
        <scheme val="minor"/>
      </rPr>
      <t>4</t>
    </r>
  </si>
  <si>
    <r>
      <t>User Agreement:</t>
    </r>
    <r>
      <rPr>
        <sz val="12"/>
        <rFont val="Calibri"/>
        <family val="2"/>
        <scheme val="minor"/>
      </rPr>
      <t xml:space="preserve">  By using the Spreadsheets and associated materials in any manner, the User agrees to the following terms of this agreement:</t>
    </r>
  </si>
  <si>
    <r>
      <t>Copyright:</t>
    </r>
    <r>
      <rPr>
        <sz val="12"/>
        <rFont val="Calibri"/>
        <family val="2"/>
        <scheme val="minor"/>
      </rPr>
      <t xml:space="preserve">  Portions of the spreadsheets and associated materials were developed by WRI, WBCSD or NCASI, are copyrighted, and are published here with the permission of those developers.  The User acknowledges these copyrights.  </t>
    </r>
  </si>
  <si>
    <r>
      <t>Acknowledgement:</t>
    </r>
    <r>
      <rPr>
        <sz val="12"/>
        <rFont val="Calibri"/>
        <family val="2"/>
        <scheme val="minor"/>
      </rPr>
      <t xml:space="preserve">  The User agrees to acknowledge WRI, WBCSD, and NCASI for their roles in developing the Spreadsheets whenever the User authors reports or publications based in whole or in part on the use of the Spreadsheets.  </t>
    </r>
  </si>
  <si>
    <r>
      <t>Disclaimer:</t>
    </r>
    <r>
      <rPr>
        <sz val="12"/>
        <rFont val="Calibri"/>
        <family val="2"/>
        <scheme val="minor"/>
      </rPr>
      <t xml:space="preserve"> These Spreadsheets and associated materials have been prepared with a high degree of expertise and professionalism, and it is believed that the Spreadsheets provide a useful and accurate approach for calculating greenhouse gas emissions.  However, the organizations involved in their development, including WRI, WBCSD, and NCASI, collectively and individually, do not warrant these Spreadsheets for any purpose, nor do they make any representations regarding their fitness for any use or purpose whatsoever.  Each User agrees to decide if, when and how to use the Spreadsheets, and does so at his or her sole risk.  Under no circumstances shall WRI, WBCSD, or NCASI be liable for any damages, including incidental, special or consequential damages, arising from the use of these Spreadsheets or an inability to use them.  </t>
    </r>
  </si>
  <si>
    <t>User entry</t>
  </si>
  <si>
    <t>Calculated value</t>
  </si>
  <si>
    <t>H = E + (F*GWP_CH4) + (G*GWP_N2O)</t>
  </si>
  <si>
    <t>I = [ F + (G*GWP_CH4) + (H*GWP_N2O) ] / E</t>
  </si>
  <si>
    <r>
      <t>kg CO</t>
    </r>
    <r>
      <rPr>
        <vertAlign val="subscript"/>
        <sz val="12"/>
        <rFont val="Calibri"/>
        <family val="2"/>
        <scheme val="minor"/>
      </rPr>
      <t>2</t>
    </r>
    <r>
      <rPr>
        <sz val="12"/>
        <rFont val="Calibri"/>
        <family val="2"/>
        <scheme val="minor"/>
      </rPr>
      <t xml:space="preserve"> eq./kg N</t>
    </r>
    <r>
      <rPr>
        <vertAlign val="subscript"/>
        <sz val="12"/>
        <rFont val="Calibri"/>
        <family val="2"/>
        <scheme val="minor"/>
      </rPr>
      <t>2</t>
    </r>
    <r>
      <rPr>
        <sz val="12"/>
        <rFont val="Calibri"/>
        <family val="2"/>
        <scheme val="minor"/>
      </rPr>
      <t>O</t>
    </r>
  </si>
  <si>
    <r>
      <t xml:space="preserve">This spreadsheet was developed by NCASI with some material from WRI and WBCSD.  Questions or comments on this material can be directed to:
</t>
    </r>
    <r>
      <rPr>
        <b/>
        <sz val="12"/>
        <rFont val="Calibri"/>
        <family val="2"/>
        <scheme val="minor"/>
      </rPr>
      <t>Barry Malmberg</t>
    </r>
    <r>
      <rPr>
        <sz val="12"/>
        <rFont val="Calibri"/>
        <family val="2"/>
        <scheme val="minor"/>
      </rPr>
      <t xml:space="preserve">
NCASI 
PO Box 271
Sheridan, WY, USA 82801
phone: (541) 249-3986
e-mail:  bmalmberg@ncasi.org</t>
    </r>
  </si>
  <si>
    <r>
      <t xml:space="preserve">NCASI Spreadsheet for Calculating GHG Emissions from 
Wood Products Manufacturing Facilities
SI Units
</t>
    </r>
    <r>
      <rPr>
        <b/>
        <sz val="14"/>
        <rFont val="Calibri"/>
        <family val="2"/>
        <scheme val="minor"/>
      </rPr>
      <t xml:space="preserve">
Workbook Version 1.1 </t>
    </r>
    <r>
      <rPr>
        <b/>
        <sz val="12"/>
        <rFont val="Calibri"/>
        <family val="2"/>
        <scheme val="minor"/>
      </rPr>
      <t>(see below for USER AGREEMENT)</t>
    </r>
  </si>
  <si>
    <r>
      <t>This tool intends to facilitate the calculation of direct CO</t>
    </r>
    <r>
      <rPr>
        <vertAlign val="subscript"/>
        <sz val="12"/>
        <rFont val="Calibri"/>
        <family val="2"/>
        <scheme val="minor"/>
      </rPr>
      <t>2</t>
    </r>
    <r>
      <rPr>
        <sz val="12"/>
        <rFont val="Calibri"/>
        <family val="2"/>
        <scheme val="minor"/>
      </rPr>
      <t>, CH</t>
    </r>
    <r>
      <rPr>
        <vertAlign val="subscript"/>
        <sz val="12"/>
        <rFont val="Calibri"/>
        <family val="2"/>
        <scheme val="minor"/>
      </rPr>
      <t>4</t>
    </r>
    <r>
      <rPr>
        <sz val="12"/>
        <rFont val="Calibri"/>
        <family val="2"/>
        <scheme val="minor"/>
      </rPr>
      <t>, and N</t>
    </r>
    <r>
      <rPr>
        <vertAlign val="subscript"/>
        <sz val="12"/>
        <rFont val="Calibri"/>
        <family val="2"/>
        <scheme val="minor"/>
      </rPr>
      <t>2</t>
    </r>
    <r>
      <rPr>
        <sz val="12"/>
        <rFont val="Calibri"/>
        <family val="2"/>
        <scheme val="minor"/>
      </rPr>
      <t xml:space="preserve">O emissions from wood products manufacturing facilities and ancillary operations.  It also addresses emissions attributable to the purchase and export of electricity and/or steam. 
</t>
    </r>
  </si>
  <si>
    <r>
      <t>Direct emissions of CO</t>
    </r>
    <r>
      <rPr>
        <vertAlign val="subscript"/>
        <sz val="12"/>
        <rFont val="Calibri"/>
        <family val="2"/>
        <scheme val="minor"/>
      </rPr>
      <t>2</t>
    </r>
    <r>
      <rPr>
        <sz val="12"/>
        <rFont val="Calibri"/>
        <family val="2"/>
        <scheme val="minor"/>
      </rPr>
      <t>, CH</t>
    </r>
    <r>
      <rPr>
        <vertAlign val="subscript"/>
        <sz val="12"/>
        <rFont val="Calibri"/>
        <family val="2"/>
        <scheme val="minor"/>
      </rPr>
      <t>4</t>
    </r>
    <r>
      <rPr>
        <sz val="12"/>
        <rFont val="Calibri"/>
        <family val="2"/>
        <scheme val="minor"/>
      </rPr>
      <t>, and N</t>
    </r>
    <r>
      <rPr>
        <vertAlign val="subscript"/>
        <sz val="12"/>
        <rFont val="Calibri"/>
        <family val="2"/>
        <scheme val="minor"/>
      </rPr>
      <t>2</t>
    </r>
    <r>
      <rPr>
        <sz val="12"/>
        <rFont val="Calibri"/>
        <family val="2"/>
        <scheme val="minor"/>
      </rPr>
      <t>O resulting from fuel combustion in stationary devices - includes emission factors from IPCC</t>
    </r>
  </si>
  <si>
    <r>
      <t>Emissions of CO</t>
    </r>
    <r>
      <rPr>
        <vertAlign val="subscript"/>
        <sz val="12"/>
        <rFont val="Calibri"/>
        <family val="2"/>
        <scheme val="minor"/>
      </rPr>
      <t>2</t>
    </r>
    <r>
      <rPr>
        <sz val="12"/>
        <rFont val="Calibri"/>
        <family val="2"/>
        <scheme val="minor"/>
      </rPr>
      <t>, CH</t>
    </r>
    <r>
      <rPr>
        <vertAlign val="subscript"/>
        <sz val="12"/>
        <rFont val="Calibri"/>
        <family val="2"/>
        <scheme val="minor"/>
      </rPr>
      <t>4</t>
    </r>
    <r>
      <rPr>
        <sz val="12"/>
        <rFont val="Calibri"/>
        <family val="2"/>
        <scheme val="minor"/>
      </rPr>
      <t>, and N</t>
    </r>
    <r>
      <rPr>
        <vertAlign val="subscript"/>
        <sz val="12"/>
        <rFont val="Calibri"/>
        <family val="2"/>
        <scheme val="minor"/>
      </rPr>
      <t>2</t>
    </r>
    <r>
      <rPr>
        <sz val="12"/>
        <rFont val="Calibri"/>
        <family val="2"/>
        <scheme val="minor"/>
      </rPr>
      <t>O from fuel combustion in mobile equipment and transportation devices</t>
    </r>
  </si>
  <si>
    <r>
      <t>Emissions of CH</t>
    </r>
    <r>
      <rPr>
        <vertAlign val="subscript"/>
        <sz val="12"/>
        <rFont val="Calibri"/>
        <family val="2"/>
        <scheme val="minor"/>
      </rPr>
      <t>4</t>
    </r>
    <r>
      <rPr>
        <sz val="12"/>
        <rFont val="Calibri"/>
        <family val="2"/>
        <scheme val="minor"/>
      </rPr>
      <t xml:space="preserve"> resulting from mill-owned landfills or anaerobic treatment operations</t>
    </r>
  </si>
  <si>
    <r>
      <t>Direct emissions of biomass CO</t>
    </r>
    <r>
      <rPr>
        <vertAlign val="subscript"/>
        <sz val="12"/>
        <rFont val="Calibri"/>
        <family val="2"/>
        <scheme val="minor"/>
      </rPr>
      <t>2</t>
    </r>
    <r>
      <rPr>
        <sz val="12"/>
        <rFont val="Calibri"/>
        <family val="2"/>
        <scheme val="minor"/>
      </rPr>
      <t xml:space="preserve"> for informational purposes only (do not include in GHG inventory)</t>
    </r>
  </si>
  <si>
    <t>GWPs</t>
  </si>
  <si>
    <t>Global warming potentials from IPCC reports</t>
  </si>
  <si>
    <t>TABLE OF CONTENTS</t>
  </si>
  <si>
    <t>OPERATIONS IN INVENTORY</t>
  </si>
  <si>
    <r>
      <t>CO</t>
    </r>
    <r>
      <rPr>
        <vertAlign val="subscript"/>
        <sz val="10"/>
        <rFont val="Calibri"/>
        <family val="2"/>
        <scheme val="minor"/>
      </rPr>
      <t>2</t>
    </r>
    <r>
      <rPr>
        <sz val="10"/>
        <rFont val="Calibri"/>
        <family val="2"/>
        <scheme val="minor"/>
      </rPr>
      <t xml:space="preserve"> emission factor
[Emission factors from IPCC are shown below]</t>
    </r>
  </si>
  <si>
    <r>
      <t>CH</t>
    </r>
    <r>
      <rPr>
        <vertAlign val="subscript"/>
        <sz val="10"/>
        <rFont val="Calibri"/>
        <family val="2"/>
        <scheme val="minor"/>
      </rPr>
      <t>4</t>
    </r>
    <r>
      <rPr>
        <sz val="10"/>
        <rFont val="Calibri"/>
        <family val="2"/>
        <scheme val="minor"/>
      </rPr>
      <t xml:space="preserve"> emission factor
[Emission factors from IPCC are shown below]</t>
    </r>
  </si>
  <si>
    <r>
      <t>N</t>
    </r>
    <r>
      <rPr>
        <vertAlign val="subscript"/>
        <sz val="10"/>
        <rFont val="Calibri"/>
        <family val="2"/>
        <scheme val="minor"/>
      </rPr>
      <t>2</t>
    </r>
    <r>
      <rPr>
        <sz val="10"/>
        <rFont val="Calibri"/>
        <family val="2"/>
        <scheme val="minor"/>
      </rPr>
      <t>O emission factor
[Emission factors from IPCC are shown below]</t>
    </r>
  </si>
  <si>
    <r>
      <t>CO</t>
    </r>
    <r>
      <rPr>
        <vertAlign val="subscript"/>
        <sz val="10"/>
        <rFont val="Calibri"/>
        <family val="2"/>
        <scheme val="minor"/>
      </rPr>
      <t>2</t>
    </r>
    <r>
      <rPr>
        <sz val="10"/>
        <rFont val="Calibri"/>
        <family val="2"/>
        <scheme val="minor"/>
      </rPr>
      <t xml:space="preserve"> emissions in metric tonnes</t>
    </r>
  </si>
  <si>
    <r>
      <t>CH</t>
    </r>
    <r>
      <rPr>
        <vertAlign val="subscript"/>
        <sz val="10"/>
        <rFont val="Calibri"/>
        <family val="2"/>
        <scheme val="minor"/>
      </rPr>
      <t>4</t>
    </r>
    <r>
      <rPr>
        <sz val="10"/>
        <rFont val="Calibri"/>
        <family val="2"/>
        <scheme val="minor"/>
      </rPr>
      <t xml:space="preserve"> emissions in metric tonnes</t>
    </r>
  </si>
  <si>
    <r>
      <t>N</t>
    </r>
    <r>
      <rPr>
        <vertAlign val="subscript"/>
        <sz val="10"/>
        <rFont val="Calibri"/>
        <family val="2"/>
        <scheme val="minor"/>
      </rPr>
      <t>2</t>
    </r>
    <r>
      <rPr>
        <sz val="10"/>
        <rFont val="Calibri"/>
        <family val="2"/>
        <scheme val="minor"/>
      </rPr>
      <t>O emissions in metric tonnes</t>
    </r>
  </si>
  <si>
    <r>
      <t>Total emissions in terms of CO</t>
    </r>
    <r>
      <rPr>
        <vertAlign val="subscript"/>
        <sz val="10"/>
        <rFont val="Calibri"/>
        <family val="2"/>
        <scheme val="minor"/>
      </rPr>
      <t>2</t>
    </r>
    <r>
      <rPr>
        <sz val="10"/>
        <rFont val="Calibri"/>
        <family val="2"/>
        <scheme val="minor"/>
      </rPr>
      <t xml:space="preserve"> equivalents 
(metric tonnes)</t>
    </r>
  </si>
  <si>
    <r>
      <t>(kg CO</t>
    </r>
    <r>
      <rPr>
        <vertAlign val="subscript"/>
        <sz val="10"/>
        <rFont val="Calibri"/>
        <family val="2"/>
        <scheme val="minor"/>
      </rPr>
      <t>2</t>
    </r>
    <r>
      <rPr>
        <sz val="10"/>
        <rFont val="Calibri"/>
        <family val="2"/>
        <scheme val="minor"/>
      </rPr>
      <t>/GJ HHV)</t>
    </r>
  </si>
  <si>
    <r>
      <t>(kg CH</t>
    </r>
    <r>
      <rPr>
        <vertAlign val="subscript"/>
        <sz val="10"/>
        <rFont val="Calibri"/>
        <family val="2"/>
        <scheme val="minor"/>
      </rPr>
      <t>4</t>
    </r>
    <r>
      <rPr>
        <sz val="10"/>
        <rFont val="Calibri"/>
        <family val="2"/>
        <scheme val="minor"/>
      </rPr>
      <t>/GJ HHV)</t>
    </r>
  </si>
  <si>
    <r>
      <t>(kg N</t>
    </r>
    <r>
      <rPr>
        <vertAlign val="subscript"/>
        <sz val="10"/>
        <rFont val="Calibri"/>
        <family val="2"/>
        <scheme val="minor"/>
      </rPr>
      <t>2</t>
    </r>
    <r>
      <rPr>
        <sz val="10"/>
        <rFont val="Calibri"/>
        <family val="2"/>
        <scheme val="minor"/>
      </rPr>
      <t>O/GJ HHV)</t>
    </r>
  </si>
  <si>
    <r>
      <t xml:space="preserve">Emission factors for stationary sources from IPCC
CO2 factors are Tier 1, CH4 and N2O factors are Tier 2 unless noted otherwise
</t>
    </r>
    <r>
      <rPr>
        <b/>
        <sz val="8"/>
        <rFont val="Calibri"/>
        <family val="2"/>
        <scheme val="minor"/>
      </rPr>
      <t>(corrected for unoxidized carbon unless noted otherwise)</t>
    </r>
  </si>
  <si>
    <r>
      <rPr>
        <b/>
        <sz val="18"/>
        <rFont val="Calibri"/>
        <family val="2"/>
        <scheme val="minor"/>
      </rPr>
      <t xml:space="preserve">Direct Emissions - Stationary Fuel Combustion, </t>
    </r>
    <r>
      <rPr>
        <sz val="18"/>
        <rFont val="Calibri"/>
        <family val="2"/>
        <scheme val="minor"/>
      </rPr>
      <t>(including methane and nitrous oxide emissions from biomass fuels)</t>
    </r>
  </si>
  <si>
    <r>
      <t xml:space="preserve">Note: Emissions from </t>
    </r>
    <r>
      <rPr>
        <b/>
        <sz val="12"/>
        <rFont val="Calibri"/>
        <family val="2"/>
        <scheme val="minor"/>
      </rPr>
      <t>mobile sources</t>
    </r>
    <r>
      <rPr>
        <sz val="12"/>
        <rFont val="Calibri"/>
        <family val="2"/>
        <scheme val="minor"/>
      </rPr>
      <t xml:space="preserve"> are reported on the "Direct - Mobile &amp; Transportation" tab</t>
    </r>
  </si>
  <si>
    <t>Global warming potentials used in this tool are:</t>
  </si>
  <si>
    <r>
      <t>CO</t>
    </r>
    <r>
      <rPr>
        <b/>
        <vertAlign val="subscript"/>
        <sz val="10"/>
        <rFont val="Calibri"/>
        <family val="2"/>
        <scheme val="minor"/>
      </rPr>
      <t>2</t>
    </r>
  </si>
  <si>
    <r>
      <t>CH</t>
    </r>
    <r>
      <rPr>
        <b/>
        <vertAlign val="subscript"/>
        <sz val="10"/>
        <rFont val="Calibri"/>
        <family val="2"/>
        <scheme val="minor"/>
      </rPr>
      <t>4</t>
    </r>
  </si>
  <si>
    <r>
      <t>N</t>
    </r>
    <r>
      <rPr>
        <b/>
        <vertAlign val="subscript"/>
        <sz val="10"/>
        <rFont val="Calibri"/>
        <family val="2"/>
        <scheme val="minor"/>
      </rPr>
      <t>2</t>
    </r>
    <r>
      <rPr>
        <b/>
        <sz val="10"/>
        <rFont val="Calibri"/>
        <family val="2"/>
        <scheme val="minor"/>
      </rPr>
      <t>O</t>
    </r>
  </si>
  <si>
    <r>
      <t>CO</t>
    </r>
    <r>
      <rPr>
        <b/>
        <vertAlign val="subscript"/>
        <sz val="10"/>
        <rFont val="Calibri"/>
        <family val="2"/>
        <scheme val="minor"/>
      </rPr>
      <t>2</t>
    </r>
    <r>
      <rPr>
        <b/>
        <sz val="10"/>
        <rFont val="Calibri"/>
        <family val="2"/>
        <scheme val="minor"/>
      </rPr>
      <t xml:space="preserve"> Equivalents</t>
    </r>
  </si>
  <si>
    <r>
      <t>kg CO</t>
    </r>
    <r>
      <rPr>
        <b/>
        <vertAlign val="subscript"/>
        <sz val="10"/>
        <rFont val="Calibri"/>
        <family val="2"/>
        <scheme val="minor"/>
      </rPr>
      <t>2</t>
    </r>
    <r>
      <rPr>
        <b/>
        <sz val="10"/>
        <rFont val="Calibri"/>
        <family val="2"/>
        <scheme val="minor"/>
      </rPr>
      <t xml:space="preserve"> / GJ fuel*
</t>
    </r>
    <r>
      <rPr>
        <b/>
        <sz val="10"/>
        <color indexed="10"/>
        <rFont val="Calibri"/>
        <family val="2"/>
        <scheme val="minor"/>
      </rPr>
      <t>[based on higher heating value, gross calorific value]</t>
    </r>
  </si>
  <si>
    <r>
      <t>kg CH</t>
    </r>
    <r>
      <rPr>
        <b/>
        <vertAlign val="subscript"/>
        <sz val="10"/>
        <rFont val="Calibri"/>
        <family val="2"/>
        <scheme val="minor"/>
      </rPr>
      <t>4</t>
    </r>
    <r>
      <rPr>
        <b/>
        <sz val="10"/>
        <rFont val="Calibri"/>
        <family val="2"/>
        <scheme val="minor"/>
      </rPr>
      <t xml:space="preserve"> / GJ fuel 
</t>
    </r>
    <r>
      <rPr>
        <b/>
        <sz val="10"/>
        <color indexed="10"/>
        <rFont val="Calibri"/>
        <family val="2"/>
        <scheme val="minor"/>
      </rPr>
      <t>[based on higher heating value, gross calorific value]</t>
    </r>
  </si>
  <si>
    <r>
      <t>kg N</t>
    </r>
    <r>
      <rPr>
        <b/>
        <vertAlign val="subscript"/>
        <sz val="10"/>
        <rFont val="Calibri"/>
        <family val="2"/>
        <scheme val="minor"/>
      </rPr>
      <t>2</t>
    </r>
    <r>
      <rPr>
        <b/>
        <sz val="10"/>
        <rFont val="Calibri"/>
        <family val="2"/>
        <scheme val="minor"/>
      </rPr>
      <t xml:space="preserve">O / GJ fuel 
</t>
    </r>
    <r>
      <rPr>
        <b/>
        <sz val="10"/>
        <color indexed="10"/>
        <rFont val="Calibri"/>
        <family val="2"/>
        <scheme val="minor"/>
      </rPr>
      <t>[based on higher heating value, gross calorific value]</t>
    </r>
  </si>
  <si>
    <r>
      <t>kg CO</t>
    </r>
    <r>
      <rPr>
        <b/>
        <vertAlign val="subscript"/>
        <sz val="10"/>
        <rFont val="Calibri"/>
        <family val="2"/>
        <scheme val="minor"/>
      </rPr>
      <t>2</t>
    </r>
    <r>
      <rPr>
        <b/>
        <sz val="10"/>
        <rFont val="Calibri"/>
        <family val="2"/>
        <scheme val="minor"/>
      </rPr>
      <t xml:space="preserve"> equiv. / GJ fuel*
</t>
    </r>
    <r>
      <rPr>
        <b/>
        <sz val="10"/>
        <color indexed="10"/>
        <rFont val="Calibri"/>
        <family val="2"/>
        <scheme val="minor"/>
      </rPr>
      <t>[based on higher heating value, gross calorific value]</t>
    </r>
  </si>
  <si>
    <r>
      <t>N</t>
    </r>
    <r>
      <rPr>
        <vertAlign val="subscript"/>
        <sz val="10"/>
        <rFont val="Calibri"/>
        <family val="2"/>
        <scheme val="minor"/>
      </rPr>
      <t>2</t>
    </r>
    <r>
      <rPr>
        <sz val="10"/>
        <rFont val="Calibri"/>
        <family val="2"/>
        <scheme val="minor"/>
      </rPr>
      <t>O factor is Tier 1</t>
    </r>
  </si>
  <si>
    <r>
      <t>CH</t>
    </r>
    <r>
      <rPr>
        <vertAlign val="subscript"/>
        <sz val="10"/>
        <rFont val="Calibri"/>
        <family val="2"/>
        <scheme val="minor"/>
      </rPr>
      <t>4</t>
    </r>
    <r>
      <rPr>
        <sz val="10"/>
        <rFont val="Calibri"/>
        <family val="2"/>
        <scheme val="minor"/>
      </rPr>
      <t xml:space="preserve"> factor is Tier 1
N</t>
    </r>
    <r>
      <rPr>
        <vertAlign val="subscript"/>
        <sz val="10"/>
        <rFont val="Calibri"/>
        <family val="2"/>
        <scheme val="minor"/>
      </rPr>
      <t>2</t>
    </r>
    <r>
      <rPr>
        <sz val="10"/>
        <rFont val="Calibri"/>
        <family val="2"/>
        <scheme val="minor"/>
      </rPr>
      <t>O factor is Tier 1</t>
    </r>
  </si>
  <si>
    <r>
      <t>USDOE does not provide CH</t>
    </r>
    <r>
      <rPr>
        <vertAlign val="subscript"/>
        <sz val="10"/>
        <rFont val="Calibri"/>
        <family val="2"/>
        <scheme val="minor"/>
      </rPr>
      <t>4</t>
    </r>
    <r>
      <rPr>
        <sz val="10"/>
        <rFont val="Calibri"/>
        <family val="2"/>
        <scheme val="minor"/>
      </rPr>
      <t xml:space="preserve"> or N</t>
    </r>
    <r>
      <rPr>
        <vertAlign val="subscript"/>
        <sz val="10"/>
        <rFont val="Calibri"/>
        <family val="2"/>
        <scheme val="minor"/>
      </rPr>
      <t>2</t>
    </r>
    <r>
      <rPr>
        <sz val="10"/>
        <rFont val="Calibri"/>
        <family val="2"/>
        <scheme val="minor"/>
      </rPr>
      <t>O emission factors</t>
    </r>
  </si>
  <si>
    <r>
      <t>IPCC does not provide CH</t>
    </r>
    <r>
      <rPr>
        <vertAlign val="subscript"/>
        <sz val="10"/>
        <rFont val="Calibri"/>
        <family val="2"/>
        <scheme val="minor"/>
      </rPr>
      <t>4</t>
    </r>
    <r>
      <rPr>
        <sz val="10"/>
        <rFont val="Calibri"/>
        <family val="2"/>
        <scheme val="minor"/>
      </rPr>
      <t xml:space="preserve"> or N</t>
    </r>
    <r>
      <rPr>
        <vertAlign val="subscript"/>
        <sz val="10"/>
        <rFont val="Calibri"/>
        <family val="2"/>
        <scheme val="minor"/>
      </rPr>
      <t>2</t>
    </r>
    <r>
      <rPr>
        <sz val="10"/>
        <rFont val="Calibri"/>
        <family val="2"/>
        <scheme val="minor"/>
      </rPr>
      <t>O emission factors</t>
    </r>
  </si>
  <si>
    <r>
      <t>CO</t>
    </r>
    <r>
      <rPr>
        <vertAlign val="subscript"/>
        <sz val="10"/>
        <rFont val="Calibri"/>
        <family val="2"/>
        <scheme val="minor"/>
      </rPr>
      <t>2</t>
    </r>
    <r>
      <rPr>
        <sz val="10"/>
        <rFont val="Calibri"/>
        <family val="2"/>
        <scheme val="minor"/>
      </rPr>
      <t xml:space="preserve"> produced from burning the resin in resinated wood residuals may be considered a greenhouse gas.  More information, including methods to estimate these emissions, are in Section 8.1.1 of the GHG Calculation Tools Report</t>
    </r>
  </si>
  <si>
    <t>0.0203 GJ/kg ‡</t>
  </si>
  <si>
    <r>
      <t>0.0391 GJ / m</t>
    </r>
    <r>
      <rPr>
        <vertAlign val="superscript"/>
        <sz val="10"/>
        <rFont val="Calibri"/>
        <family val="2"/>
        <scheme val="minor"/>
      </rPr>
      <t>3</t>
    </r>
  </si>
  <si>
    <r>
      <t>0.673 kg/m</t>
    </r>
    <r>
      <rPr>
        <vertAlign val="superscript"/>
        <sz val="10"/>
        <rFont val="Calibri"/>
        <family val="2"/>
        <scheme val="minor"/>
      </rPr>
      <t>3</t>
    </r>
  </si>
  <si>
    <r>
      <t>*** Based on "standard conditions" of 60</t>
    </r>
    <r>
      <rPr>
        <vertAlign val="superscript"/>
        <sz val="9"/>
        <color indexed="8"/>
        <rFont val="Calibri"/>
        <family val="2"/>
        <scheme val="minor"/>
      </rPr>
      <t>o</t>
    </r>
    <r>
      <rPr>
        <sz val="9"/>
        <color indexed="8"/>
        <rFont val="Calibri"/>
        <family val="2"/>
        <scheme val="minor"/>
      </rPr>
      <t>F (15.6</t>
    </r>
    <r>
      <rPr>
        <vertAlign val="superscript"/>
        <sz val="9"/>
        <color indexed="8"/>
        <rFont val="Calibri"/>
        <family val="2"/>
        <scheme val="minor"/>
      </rPr>
      <t>o</t>
    </r>
    <r>
      <rPr>
        <sz val="9"/>
        <color indexed="8"/>
        <rFont val="Calibri"/>
        <family val="2"/>
        <scheme val="minor"/>
      </rPr>
      <t>C) and 1 atm pressure, per API</t>
    </r>
  </si>
  <si>
    <t>‡Calculated from data in Instructions for Form EIA-1605b Voluntary Reporting of Greenhouse Gases, for Data Through 2002, US Department of Energy, Energy Information Administration, Form EIA-1605 (2003), OMB No. 1905-0194, Appendix B, Page 48, available on the internet at ftp://ftp.eia.doe.gov/pub/oiaf/1605/cdrom/pdf/1605INSTR02.pdf (31 October 2003)</t>
  </si>
  <si>
    <r>
      <t xml:space="preserve">kg CO2 / GJ fuel*
</t>
    </r>
    <r>
      <rPr>
        <b/>
        <sz val="10"/>
        <color indexed="10"/>
        <rFont val="Calibri"/>
        <family val="2"/>
        <scheme val="minor"/>
      </rPr>
      <t>[based on higher heating value]</t>
    </r>
  </si>
  <si>
    <r>
      <t xml:space="preserve">kg CH4 / GJ fuel 
</t>
    </r>
    <r>
      <rPr>
        <b/>
        <sz val="10"/>
        <color indexed="10"/>
        <rFont val="Calibri"/>
        <family val="2"/>
        <scheme val="minor"/>
      </rPr>
      <t>[based on higher heating value]</t>
    </r>
  </si>
  <si>
    <r>
      <t xml:space="preserve">kg N2O / GJ fuel 
</t>
    </r>
    <r>
      <rPr>
        <b/>
        <sz val="10"/>
        <color indexed="10"/>
        <rFont val="Calibri"/>
        <family val="2"/>
        <scheme val="minor"/>
      </rPr>
      <t>[based on higher heating value]</t>
    </r>
  </si>
  <si>
    <r>
      <t xml:space="preserve">kg CO2 equiv. / GJ fuel*
</t>
    </r>
    <r>
      <rPr>
        <b/>
        <sz val="10"/>
        <color indexed="10"/>
        <rFont val="Calibri"/>
        <family val="2"/>
        <scheme val="minor"/>
      </rPr>
      <t>[based on higher heating value]</t>
    </r>
  </si>
  <si>
    <r>
      <t>CO</t>
    </r>
    <r>
      <rPr>
        <vertAlign val="subscript"/>
        <sz val="10"/>
        <rFont val="Calibri"/>
        <family val="2"/>
        <scheme val="minor"/>
      </rPr>
      <t>2</t>
    </r>
    <r>
      <rPr>
        <sz val="10"/>
        <rFont val="Calibri"/>
        <family val="2"/>
        <scheme val="minor"/>
      </rPr>
      <t xml:space="preserve"> emission factor
Emission factors from IPCC are shown at right</t>
    </r>
  </si>
  <si>
    <r>
      <t>CH</t>
    </r>
    <r>
      <rPr>
        <vertAlign val="subscript"/>
        <sz val="10"/>
        <rFont val="Calibri"/>
        <family val="2"/>
        <scheme val="minor"/>
      </rPr>
      <t>4</t>
    </r>
    <r>
      <rPr>
        <sz val="10"/>
        <rFont val="Calibri"/>
        <family val="2"/>
        <scheme val="minor"/>
      </rPr>
      <t xml:space="preserve"> emission factor
Emission factors from IPCC are shown at right</t>
    </r>
  </si>
  <si>
    <r>
      <t>N</t>
    </r>
    <r>
      <rPr>
        <vertAlign val="subscript"/>
        <sz val="10"/>
        <rFont val="Calibri"/>
        <family val="2"/>
        <scheme val="minor"/>
      </rPr>
      <t>2</t>
    </r>
    <r>
      <rPr>
        <sz val="10"/>
        <rFont val="Calibri"/>
        <family val="2"/>
        <scheme val="minor"/>
      </rPr>
      <t>O emission factor
Emission factors from IPCC are shown at right</t>
    </r>
  </si>
  <si>
    <r>
      <t>DIRECT
CO</t>
    </r>
    <r>
      <rPr>
        <b/>
        <vertAlign val="subscript"/>
        <sz val="10"/>
        <rFont val="Calibri"/>
        <family val="2"/>
        <scheme val="minor"/>
      </rPr>
      <t>2</t>
    </r>
    <r>
      <rPr>
        <b/>
        <sz val="10"/>
        <rFont val="Calibri"/>
        <family val="2"/>
        <scheme val="minor"/>
      </rPr>
      <t xml:space="preserve"> emissions (metric tonnes)</t>
    </r>
  </si>
  <si>
    <r>
      <t>DIRECT
CH</t>
    </r>
    <r>
      <rPr>
        <b/>
        <vertAlign val="subscript"/>
        <sz val="10"/>
        <rFont val="Calibri"/>
        <family val="2"/>
        <scheme val="minor"/>
      </rPr>
      <t>4</t>
    </r>
    <r>
      <rPr>
        <b/>
        <sz val="10"/>
        <rFont val="Calibri"/>
        <family val="2"/>
        <scheme val="minor"/>
      </rPr>
      <t xml:space="preserve"> emissions (metric tonnes)</t>
    </r>
  </si>
  <si>
    <r>
      <t>DIRECT
N</t>
    </r>
    <r>
      <rPr>
        <b/>
        <vertAlign val="subscript"/>
        <sz val="10"/>
        <rFont val="Calibri"/>
        <family val="2"/>
        <scheme val="minor"/>
      </rPr>
      <t>2</t>
    </r>
    <r>
      <rPr>
        <b/>
        <sz val="10"/>
        <rFont val="Calibri"/>
        <family val="2"/>
        <scheme val="minor"/>
      </rPr>
      <t>O emissions (metric tonnes)</t>
    </r>
  </si>
  <si>
    <r>
      <t>INDIRECT
CO</t>
    </r>
    <r>
      <rPr>
        <b/>
        <vertAlign val="subscript"/>
        <sz val="10"/>
        <rFont val="Calibri"/>
        <family val="2"/>
        <scheme val="minor"/>
      </rPr>
      <t>2</t>
    </r>
    <r>
      <rPr>
        <b/>
        <sz val="10"/>
        <rFont val="Calibri"/>
        <family val="2"/>
        <scheme val="minor"/>
      </rPr>
      <t xml:space="preserve"> emissions (metric tonnes)</t>
    </r>
  </si>
  <si>
    <r>
      <t>INDIRECT
CH</t>
    </r>
    <r>
      <rPr>
        <b/>
        <vertAlign val="subscript"/>
        <sz val="10"/>
        <rFont val="Calibri"/>
        <family val="2"/>
        <scheme val="minor"/>
      </rPr>
      <t>4</t>
    </r>
    <r>
      <rPr>
        <b/>
        <sz val="10"/>
        <rFont val="Calibri"/>
        <family val="2"/>
        <scheme val="minor"/>
      </rPr>
      <t xml:space="preserve"> emissions (metric tonnes)</t>
    </r>
  </si>
  <si>
    <r>
      <t>INDIRECT
N</t>
    </r>
    <r>
      <rPr>
        <b/>
        <vertAlign val="subscript"/>
        <sz val="10"/>
        <rFont val="Calibri"/>
        <family val="2"/>
        <scheme val="minor"/>
      </rPr>
      <t>2</t>
    </r>
    <r>
      <rPr>
        <b/>
        <sz val="10"/>
        <rFont val="Calibri"/>
        <family val="2"/>
        <scheme val="minor"/>
      </rPr>
      <t>O emissions (metric tonnes)</t>
    </r>
  </si>
  <si>
    <r>
      <t>tonnes CO</t>
    </r>
    <r>
      <rPr>
        <b/>
        <vertAlign val="subscript"/>
        <sz val="10"/>
        <rFont val="Calibri"/>
        <family val="2"/>
        <scheme val="minor"/>
      </rPr>
      <t>2</t>
    </r>
  </si>
  <si>
    <r>
      <t>tonnes CH</t>
    </r>
    <r>
      <rPr>
        <b/>
        <vertAlign val="subscript"/>
        <sz val="10"/>
        <rFont val="Calibri"/>
        <family val="2"/>
        <scheme val="minor"/>
      </rPr>
      <t>4</t>
    </r>
  </si>
  <si>
    <r>
      <t>tonnes N</t>
    </r>
    <r>
      <rPr>
        <b/>
        <vertAlign val="subscript"/>
        <sz val="10"/>
        <rFont val="Calibri"/>
        <family val="2"/>
        <scheme val="minor"/>
      </rPr>
      <t>2</t>
    </r>
    <r>
      <rPr>
        <b/>
        <sz val="10"/>
        <rFont val="Calibri"/>
        <family val="2"/>
        <scheme val="minor"/>
      </rPr>
      <t>O</t>
    </r>
  </si>
  <si>
    <r>
      <t xml:space="preserve">Note: Emissions from </t>
    </r>
    <r>
      <rPr>
        <b/>
        <sz val="12"/>
        <rFont val="Calibri"/>
        <family val="2"/>
        <scheme val="minor"/>
      </rPr>
      <t>stationary sources</t>
    </r>
    <r>
      <rPr>
        <sz val="12"/>
        <rFont val="Calibri"/>
        <family val="2"/>
        <scheme val="minor"/>
      </rPr>
      <t xml:space="preserve"> are reported on the "Direct-Fuel Combust." spreadsheet immediately in front of this spreadsheet</t>
    </r>
  </si>
  <si>
    <r>
      <t xml:space="preserve">This worksheet can be used to calculate emissions from mobile combustion sources, including transportation.
The worksheet contains two parts:
    Part 1 is used to calculate transportation emissions </t>
    </r>
    <r>
      <rPr>
        <b/>
        <sz val="10"/>
        <rFont val="Calibri"/>
        <family val="2"/>
        <scheme val="minor"/>
      </rPr>
      <t>based on quantity of fuels consumed</t>
    </r>
    <r>
      <rPr>
        <sz val="10"/>
        <color indexed="10"/>
        <rFont val="Calibri"/>
        <family val="2"/>
        <scheme val="minor"/>
      </rPr>
      <t>.</t>
    </r>
    <r>
      <rPr>
        <sz val="10"/>
        <rFont val="Calibri"/>
        <family val="2"/>
        <scheme val="minor"/>
      </rPr>
      <t xml:space="preserve">
    Part 2 is used to calculate emissions from </t>
    </r>
    <r>
      <rPr>
        <b/>
        <sz val="10"/>
        <rFont val="Calibri"/>
        <family val="2"/>
        <scheme val="minor"/>
      </rPr>
      <t>non-transportation mobile sources such as harvesting equipment.</t>
    </r>
    <r>
      <rPr>
        <sz val="10"/>
        <rFont val="Calibri"/>
        <family val="2"/>
        <scheme val="minor"/>
      </rPr>
      <t xml:space="preserve">
</t>
    </r>
    <r>
      <rPr>
        <b/>
        <sz val="10"/>
        <rFont val="Calibri"/>
        <family val="2"/>
        <scheme val="minor"/>
      </rPr>
      <t>Avoid double counting!</t>
    </r>
    <r>
      <rPr>
        <sz val="16"/>
        <rFont val="Calibri"/>
        <family val="2"/>
        <scheme val="minor"/>
      </rPr>
      <t xml:space="preserve">  </t>
    </r>
    <r>
      <rPr>
        <sz val="10"/>
        <rFont val="Calibri"/>
        <family val="2"/>
        <scheme val="minor"/>
      </rPr>
      <t>If transportation emissions for a fleet are estimated using Part 1, do not also estimate emissions for this same fleet using Part 2.
Do not include any combustion sources on this page that were already addressed in the "Direct - Fuel Combust." sheet.</t>
    </r>
  </si>
  <si>
    <r>
      <t>IPCC does not provide CH</t>
    </r>
    <r>
      <rPr>
        <vertAlign val="subscript"/>
        <sz val="10"/>
        <rFont val="Calibri"/>
        <family val="2"/>
        <scheme val="minor"/>
      </rPr>
      <t>4</t>
    </r>
    <r>
      <rPr>
        <sz val="10"/>
        <rFont val="Calibri"/>
        <family val="2"/>
        <scheme val="minor"/>
      </rPr>
      <t xml:space="preserve"> or N</t>
    </r>
    <r>
      <rPr>
        <vertAlign val="subscript"/>
        <sz val="10"/>
        <rFont val="Calibri"/>
        <family val="2"/>
        <scheme val="minor"/>
      </rPr>
      <t>2</t>
    </r>
    <r>
      <rPr>
        <sz val="10"/>
        <rFont val="Calibri"/>
        <family val="2"/>
        <scheme val="minor"/>
      </rPr>
      <t>O factors</t>
    </r>
  </si>
  <si>
    <r>
      <t>USDOE does not provide CH</t>
    </r>
    <r>
      <rPr>
        <vertAlign val="subscript"/>
        <sz val="10"/>
        <rFont val="Calibri"/>
        <family val="2"/>
        <scheme val="minor"/>
      </rPr>
      <t>4</t>
    </r>
    <r>
      <rPr>
        <sz val="10"/>
        <rFont val="Calibri"/>
        <family val="2"/>
        <scheme val="minor"/>
      </rPr>
      <t xml:space="preserve"> or N</t>
    </r>
    <r>
      <rPr>
        <vertAlign val="subscript"/>
        <sz val="10"/>
        <rFont val="Calibri"/>
        <family val="2"/>
        <scheme val="minor"/>
      </rPr>
      <t>2</t>
    </r>
    <r>
      <rPr>
        <sz val="10"/>
        <rFont val="Calibri"/>
        <family val="2"/>
        <scheme val="minor"/>
      </rPr>
      <t>O factors</t>
    </r>
  </si>
  <si>
    <r>
      <t>CH</t>
    </r>
    <r>
      <rPr>
        <vertAlign val="subscript"/>
        <sz val="10"/>
        <rFont val="Calibri"/>
        <family val="2"/>
        <scheme val="minor"/>
      </rPr>
      <t>4</t>
    </r>
    <r>
      <rPr>
        <sz val="10"/>
        <rFont val="Calibri"/>
        <family val="2"/>
        <scheme val="minor"/>
      </rPr>
      <t xml:space="preserve"> and N</t>
    </r>
    <r>
      <rPr>
        <vertAlign val="subscript"/>
        <sz val="10"/>
        <rFont val="Calibri"/>
        <family val="2"/>
        <scheme val="minor"/>
      </rPr>
      <t>2</t>
    </r>
    <r>
      <rPr>
        <sz val="10"/>
        <rFont val="Calibri"/>
        <family val="2"/>
        <scheme val="minor"/>
      </rPr>
      <t>O factors are Tier 1</t>
    </r>
  </si>
  <si>
    <t>For landfills and anaerobic wastewater treatment and sludge digestion systems</t>
  </si>
  <si>
    <t>Note: On this sheet, Standard conditions refers to 0°C and 1 atm pressure</t>
  </si>
  <si>
    <r>
      <t xml:space="preserve">Methane emissions from landfills
</t>
    </r>
    <r>
      <rPr>
        <b/>
        <sz val="12"/>
        <rFont val="Calibri"/>
        <family val="2"/>
        <scheme val="minor"/>
      </rPr>
      <t>Note: Use only one of the following methods for each landfill.</t>
    </r>
  </si>
  <si>
    <r>
      <t>Direct</t>
    </r>
    <r>
      <rPr>
        <sz val="10"/>
        <rFont val="Calibri"/>
        <family val="2"/>
        <scheme val="minor"/>
      </rPr>
      <t xml:space="preserve">
Methane emissions in metric tonnes</t>
    </r>
  </si>
  <si>
    <r>
      <t>Indirect</t>
    </r>
    <r>
      <rPr>
        <sz val="10"/>
        <rFont val="Calibri"/>
        <family val="2"/>
        <scheme val="minor"/>
      </rPr>
      <t xml:space="preserve">
Methane emissions in metric tonnes</t>
    </r>
  </si>
  <si>
    <r>
      <t>Ultimate Methane Potential, Lo, 
[default for mill waste
Lo =100m</t>
    </r>
    <r>
      <rPr>
        <vertAlign val="superscript"/>
        <sz val="10"/>
        <rFont val="Calibri"/>
        <family val="2"/>
        <scheme val="minor"/>
      </rPr>
      <t>3</t>
    </r>
    <r>
      <rPr>
        <sz val="10"/>
        <rFont val="Calibri"/>
        <family val="2"/>
        <scheme val="minor"/>
      </rPr>
      <t>/dry Mg]</t>
    </r>
  </si>
  <si>
    <r>
      <t xml:space="preserve">Methane emissions from anaerobic wastewater 
treatment or sludge digestion systems
</t>
    </r>
    <r>
      <rPr>
        <b/>
        <sz val="12"/>
        <rFont val="Calibri"/>
        <family val="2"/>
        <scheme val="minor"/>
      </rPr>
      <t>Note: Use only one of the following methods for each source.</t>
    </r>
  </si>
  <si>
    <r>
      <t xml:space="preserve">Method 1 - For anaerobic wastewater treatment and sludge digestion systems </t>
    </r>
    <r>
      <rPr>
        <b/>
        <sz val="12"/>
        <color indexed="10"/>
        <rFont val="Calibri"/>
        <family val="2"/>
        <scheme val="minor"/>
      </rPr>
      <t>where gas is collected</t>
    </r>
  </si>
  <si>
    <r>
      <t>Direct</t>
    </r>
    <r>
      <rPr>
        <sz val="10"/>
        <rFont val="Calibri"/>
        <family val="2"/>
        <scheme val="minor"/>
      </rPr>
      <t xml:space="preserve">
Methane emissions in metric tonnes CH4</t>
    </r>
  </si>
  <si>
    <r>
      <t>Indirect</t>
    </r>
    <r>
      <rPr>
        <sz val="10"/>
        <rFont val="Calibri"/>
        <family val="2"/>
        <scheme val="minor"/>
      </rPr>
      <t xml:space="preserve">
Methane emissions in metric tonnes CH4</t>
    </r>
  </si>
  <si>
    <r>
      <t xml:space="preserve">Method 2 - For anaerobic wastewater treatment and sludge digestion systems 
</t>
    </r>
    <r>
      <rPr>
        <b/>
        <sz val="12"/>
        <color indexed="10"/>
        <rFont val="Calibri"/>
        <family val="2"/>
        <scheme val="minor"/>
      </rPr>
      <t>where gas is NOT collected or the collection efficiency is not known.</t>
    </r>
  </si>
  <si>
    <r>
      <t>metric tonnes CH</t>
    </r>
    <r>
      <rPr>
        <vertAlign val="subscript"/>
        <sz val="10"/>
        <rFont val="Calibri"/>
        <family val="2"/>
        <scheme val="minor"/>
      </rPr>
      <t>4</t>
    </r>
  </si>
  <si>
    <t>Method 2 is applicable to landfills where the amounts of waste deposited are reasonably constant from year-to-year 
and the landfill design has not been changed in ways that would substantially alter landfill gas releases.
IT IS IMPORTANT TO NOT ESTIMATE EMISSIONS FOR A SINGLE LANDFILL BY MORE THAN ONE METHOD TO AVOID DOUBLE COUNTING!</t>
  </si>
  <si>
    <r>
      <rPr>
        <b/>
        <sz val="14"/>
        <rFont val="Calibri"/>
        <family val="2"/>
        <scheme val="minor"/>
      </rPr>
      <t>Method 1</t>
    </r>
    <r>
      <rPr>
        <b/>
        <sz val="12"/>
        <rFont val="Calibri"/>
        <family val="2"/>
        <scheme val="minor"/>
      </rPr>
      <t xml:space="preserve"> - For landfills with low permeability caps and effective gas recovery systems 
where measurements are made of amounts of gas collected
IT IS IMPORTANT TO NOT ESTIMATE EMISSIONS FOR A SINGLE LANDFILL BY MORE THAN ONE METHOD TO AVOID DOUBLE COUNTING!</t>
    </r>
  </si>
  <si>
    <r>
      <rPr>
        <b/>
        <sz val="14"/>
        <rFont val="Calibri"/>
        <family val="2"/>
        <scheme val="minor"/>
      </rPr>
      <t>Method 2</t>
    </r>
    <r>
      <rPr>
        <b/>
        <sz val="12"/>
        <rFont val="Calibri"/>
        <family val="2"/>
        <scheme val="minor"/>
      </rPr>
      <t xml:space="preserve"> - For landfills that cannot use Method 1.  </t>
    </r>
  </si>
  <si>
    <r>
      <rPr>
        <b/>
        <sz val="14"/>
        <rFont val="Calibri"/>
        <family val="2"/>
        <scheme val="minor"/>
      </rPr>
      <t>Method 3</t>
    </r>
    <r>
      <rPr>
        <b/>
        <sz val="12"/>
        <rFont val="Calibri"/>
        <family val="2"/>
        <scheme val="minor"/>
      </rPr>
      <t xml:space="preserve"> - For landfills that cannot use Methods 1 or 2.  </t>
    </r>
  </si>
  <si>
    <t>Method 3 is applicable to landfills where the amounts of waste deposited vary substantially from year-to-year 
and the landfill design has changed in ways that would substantially alter landfill gas releases.
This table for Method 3 can only estimate emissions from a single landfill.  If emissions from multiple landfills are to be estimated, 
make a separate copy of this Excel worksheet for each additional landfill to be considered.  In this case, the user will have to manually 
sum all landfill emission estimates and enter this value in the appropriate cell of the "Summary Table" worksheet.</t>
  </si>
  <si>
    <r>
      <t>Estimated Direct Emissions [metric tonnes CH</t>
    </r>
    <r>
      <rPr>
        <b/>
        <vertAlign val="subscript"/>
        <sz val="12"/>
        <rFont val="Calibri"/>
        <family val="2"/>
        <scheme val="minor"/>
      </rPr>
      <t>4</t>
    </r>
    <r>
      <rPr>
        <b/>
        <sz val="12"/>
        <rFont val="Calibri"/>
        <family val="2"/>
        <scheme val="minor"/>
      </rPr>
      <t>]:</t>
    </r>
  </si>
  <si>
    <r>
      <t>Estimated Indirect Emissions [metric tonnes CH</t>
    </r>
    <r>
      <rPr>
        <b/>
        <vertAlign val="subscript"/>
        <sz val="12"/>
        <rFont val="Calibri"/>
        <family val="2"/>
        <scheme val="minor"/>
      </rPr>
      <t>4</t>
    </r>
    <r>
      <rPr>
        <b/>
        <sz val="12"/>
        <rFont val="Calibri"/>
        <family val="2"/>
        <scheme val="minor"/>
      </rPr>
      <t>]:</t>
    </r>
  </si>
  <si>
    <r>
      <t>Methane emissions in metric tons CO</t>
    </r>
    <r>
      <rPr>
        <vertAlign val="subscript"/>
        <sz val="10"/>
        <rFont val="Calibri"/>
        <family val="2"/>
        <scheme val="minor"/>
      </rPr>
      <t>2</t>
    </r>
    <r>
      <rPr>
        <sz val="10"/>
        <rFont val="Calibri"/>
        <family val="2"/>
        <scheme val="minor"/>
      </rPr>
      <t xml:space="preserve"> equivalents </t>
    </r>
  </si>
  <si>
    <r>
      <t>E</t>
    </r>
    <r>
      <rPr>
        <vertAlign val="subscript"/>
        <sz val="10"/>
        <rFont val="Calibri"/>
        <family val="2"/>
        <scheme val="minor"/>
      </rPr>
      <t>T</t>
    </r>
    <r>
      <rPr>
        <sz val="10"/>
        <rFont val="Calibri"/>
        <family val="2"/>
        <scheme val="minor"/>
      </rPr>
      <t xml:space="preserve">  Total direct emissions from CHP facility</t>
    </r>
  </si>
  <si>
    <r>
      <t>Allowed input values for ratio of heat production efficiency to power production efficiency, e</t>
    </r>
    <r>
      <rPr>
        <vertAlign val="subscript"/>
        <sz val="10"/>
        <rFont val="Calibri"/>
        <family val="2"/>
        <scheme val="minor"/>
      </rPr>
      <t>h</t>
    </r>
    <r>
      <rPr>
        <sz val="10"/>
        <rFont val="Calibri"/>
        <family val="2"/>
        <scheme val="minor"/>
      </rPr>
      <t>/e</t>
    </r>
    <r>
      <rPr>
        <vertAlign val="subscript"/>
        <sz val="10"/>
        <rFont val="Calibri"/>
        <family val="2"/>
        <scheme val="minor"/>
      </rPr>
      <t>p</t>
    </r>
  </si>
  <si>
    <r>
      <t>e</t>
    </r>
    <r>
      <rPr>
        <vertAlign val="subscript"/>
        <sz val="10"/>
        <rFont val="Calibri"/>
        <family val="2"/>
        <scheme val="minor"/>
      </rPr>
      <t>p</t>
    </r>
    <r>
      <rPr>
        <sz val="10"/>
        <rFont val="Calibri"/>
        <family val="2"/>
        <scheme val="minor"/>
      </rPr>
      <t xml:space="preserve">  (efficiency of typical power production)</t>
    </r>
  </si>
  <si>
    <r>
      <t>e</t>
    </r>
    <r>
      <rPr>
        <vertAlign val="subscript"/>
        <sz val="10"/>
        <rFont val="Calibri"/>
        <family val="2"/>
        <scheme val="minor"/>
      </rPr>
      <t>h</t>
    </r>
    <r>
      <rPr>
        <sz val="10"/>
        <rFont val="Calibri"/>
        <family val="2"/>
        <scheme val="minor"/>
      </rPr>
      <t xml:space="preserve">  (efficiency of typical heat production)</t>
    </r>
  </si>
  <si>
    <r>
      <t>E</t>
    </r>
    <r>
      <rPr>
        <vertAlign val="subscript"/>
        <sz val="10"/>
        <rFont val="Calibri"/>
        <family val="2"/>
        <scheme val="minor"/>
      </rPr>
      <t>H</t>
    </r>
    <r>
      <rPr>
        <sz val="10"/>
        <rFont val="Calibri"/>
        <family val="2"/>
        <scheme val="minor"/>
      </rPr>
      <t xml:space="preserve">  Emissions share allocated to heat production</t>
    </r>
  </si>
  <si>
    <r>
      <t>E</t>
    </r>
    <r>
      <rPr>
        <vertAlign val="subscript"/>
        <sz val="10"/>
        <rFont val="Calibri"/>
        <family val="2"/>
        <scheme val="minor"/>
      </rPr>
      <t>P</t>
    </r>
    <r>
      <rPr>
        <sz val="10"/>
        <rFont val="Calibri"/>
        <family val="2"/>
        <scheme val="minor"/>
      </rPr>
      <t xml:space="preserve">  Emissions share allocated to electricity production</t>
    </r>
  </si>
  <si>
    <r>
      <t>e</t>
    </r>
    <r>
      <rPr>
        <vertAlign val="subscript"/>
        <sz val="10"/>
        <rFont val="Calibri"/>
        <family val="2"/>
        <scheme val="minor"/>
      </rPr>
      <t>h</t>
    </r>
    <r>
      <rPr>
        <sz val="10"/>
        <rFont val="Calibri"/>
        <family val="2"/>
        <scheme val="minor"/>
      </rPr>
      <t>/e</t>
    </r>
    <r>
      <rPr>
        <vertAlign val="subscript"/>
        <sz val="10"/>
        <rFont val="Calibri"/>
        <family val="2"/>
        <scheme val="minor"/>
      </rPr>
      <t>p</t>
    </r>
  </si>
  <si>
    <t>Purchased steam</t>
  </si>
  <si>
    <t>Exported power</t>
  </si>
  <si>
    <t>Simplified Efficiency Method: 
Allocation based on assumed efficiencies for both steam and power production and total CHP emissions</t>
  </si>
  <si>
    <r>
      <t>metric tons CO</t>
    </r>
    <r>
      <rPr>
        <vertAlign val="subscript"/>
        <sz val="10"/>
        <rFont val="Calibri"/>
        <family val="2"/>
        <scheme val="minor"/>
      </rPr>
      <t>2</t>
    </r>
    <r>
      <rPr>
        <sz val="10"/>
        <rFont val="Calibri"/>
        <family val="2"/>
        <scheme val="minor"/>
      </rPr>
      <t xml:space="preserve"> equiv.</t>
    </r>
  </si>
  <si>
    <r>
      <t>kg CO</t>
    </r>
    <r>
      <rPr>
        <vertAlign val="subscript"/>
        <sz val="10"/>
        <rFont val="Calibri"/>
        <family val="2"/>
        <scheme val="minor"/>
      </rPr>
      <t>2</t>
    </r>
    <r>
      <rPr>
        <sz val="10"/>
        <rFont val="Calibri"/>
        <family val="2"/>
        <scheme val="minor"/>
      </rPr>
      <t xml:space="preserve"> / energy unit in D</t>
    </r>
  </si>
  <si>
    <r>
      <t>CO</t>
    </r>
    <r>
      <rPr>
        <vertAlign val="subscript"/>
        <sz val="10"/>
        <rFont val="Calibri"/>
        <family val="2"/>
        <scheme val="minor"/>
      </rPr>
      <t>2</t>
    </r>
    <r>
      <rPr>
        <sz val="10"/>
        <rFont val="Calibri"/>
        <family val="2"/>
        <scheme val="minor"/>
      </rPr>
      <t xml:space="preserve"> emission factor for imported electricity or steam*</t>
    </r>
  </si>
  <si>
    <r>
      <t>CH</t>
    </r>
    <r>
      <rPr>
        <vertAlign val="subscript"/>
        <sz val="10"/>
        <rFont val="Calibri"/>
        <family val="2"/>
        <scheme val="minor"/>
      </rPr>
      <t>4</t>
    </r>
    <r>
      <rPr>
        <sz val="10"/>
        <rFont val="Calibri"/>
        <family val="2"/>
        <scheme val="minor"/>
      </rPr>
      <t xml:space="preserve"> emission factor for imported electricity or steam*</t>
    </r>
  </si>
  <si>
    <r>
      <t>N</t>
    </r>
    <r>
      <rPr>
        <vertAlign val="subscript"/>
        <sz val="10"/>
        <rFont val="Calibri"/>
        <family val="2"/>
        <scheme val="minor"/>
      </rPr>
      <t>2</t>
    </r>
    <r>
      <rPr>
        <sz val="10"/>
        <rFont val="Calibri"/>
        <family val="2"/>
        <scheme val="minor"/>
      </rPr>
      <t>O emission factor for imported electricity or steam*</t>
    </r>
  </si>
  <si>
    <r>
      <t>Indirect CO</t>
    </r>
    <r>
      <rPr>
        <vertAlign val="subscript"/>
        <sz val="10"/>
        <rFont val="Calibri"/>
        <family val="2"/>
        <scheme val="minor"/>
      </rPr>
      <t>2</t>
    </r>
    <r>
      <rPr>
        <sz val="10"/>
        <rFont val="Calibri"/>
        <family val="2"/>
        <scheme val="minor"/>
      </rPr>
      <t xml:space="preserve"> emissions in metric tonnes</t>
    </r>
  </si>
  <si>
    <r>
      <t>Indirect CH</t>
    </r>
    <r>
      <rPr>
        <vertAlign val="subscript"/>
        <sz val="10"/>
        <rFont val="Calibri"/>
        <family val="2"/>
        <scheme val="minor"/>
      </rPr>
      <t>4</t>
    </r>
    <r>
      <rPr>
        <sz val="10"/>
        <rFont val="Calibri"/>
        <family val="2"/>
        <scheme val="minor"/>
      </rPr>
      <t xml:space="preserve"> emissions in metric tonnes</t>
    </r>
  </si>
  <si>
    <r>
      <t>Indirect N</t>
    </r>
    <r>
      <rPr>
        <vertAlign val="subscript"/>
        <sz val="10"/>
        <rFont val="Calibri"/>
        <family val="2"/>
        <scheme val="minor"/>
      </rPr>
      <t>2</t>
    </r>
    <r>
      <rPr>
        <sz val="10"/>
        <rFont val="Calibri"/>
        <family val="2"/>
        <scheme val="minor"/>
      </rPr>
      <t>O emissions in metric tonnes</t>
    </r>
  </si>
  <si>
    <r>
      <t>kg CO</t>
    </r>
    <r>
      <rPr>
        <vertAlign val="subscript"/>
        <sz val="10"/>
        <rFont val="Calibri"/>
        <family val="2"/>
        <scheme val="minor"/>
      </rPr>
      <t>2</t>
    </r>
    <r>
      <rPr>
        <sz val="10"/>
        <rFont val="Calibri"/>
        <family val="2"/>
        <scheme val="minor"/>
      </rPr>
      <t xml:space="preserve"> / MWh</t>
    </r>
  </si>
  <si>
    <r>
      <t>kg CH</t>
    </r>
    <r>
      <rPr>
        <vertAlign val="subscript"/>
        <sz val="10"/>
        <rFont val="Calibri"/>
        <family val="2"/>
        <scheme val="minor"/>
      </rPr>
      <t>4</t>
    </r>
    <r>
      <rPr>
        <sz val="10"/>
        <rFont val="Calibri"/>
        <family val="2"/>
        <scheme val="minor"/>
      </rPr>
      <t xml:space="preserve"> / MWh</t>
    </r>
  </si>
  <si>
    <r>
      <t>kg N</t>
    </r>
    <r>
      <rPr>
        <vertAlign val="subscript"/>
        <sz val="10"/>
        <rFont val="Calibri"/>
        <family val="2"/>
        <scheme val="minor"/>
      </rPr>
      <t>2</t>
    </r>
    <r>
      <rPr>
        <sz val="10"/>
        <rFont val="Calibri"/>
        <family val="2"/>
        <scheme val="minor"/>
      </rPr>
      <t>O / MWh</t>
    </r>
  </si>
  <si>
    <r>
      <t xml:space="preserve"> metric tons CO</t>
    </r>
    <r>
      <rPr>
        <vertAlign val="subscript"/>
        <sz val="10"/>
        <rFont val="Calibri"/>
        <family val="2"/>
        <scheme val="minor"/>
      </rPr>
      <t>2</t>
    </r>
  </si>
  <si>
    <r>
      <t xml:space="preserve"> metric tons CH</t>
    </r>
    <r>
      <rPr>
        <vertAlign val="subscript"/>
        <sz val="10"/>
        <rFont val="Calibri"/>
        <family val="2"/>
        <scheme val="minor"/>
      </rPr>
      <t>4</t>
    </r>
  </si>
  <si>
    <r>
      <t xml:space="preserve"> metric tons N</t>
    </r>
    <r>
      <rPr>
        <vertAlign val="subscript"/>
        <sz val="10"/>
        <rFont val="Calibri"/>
        <family val="2"/>
        <scheme val="minor"/>
      </rPr>
      <t>2</t>
    </r>
    <r>
      <rPr>
        <sz val="10"/>
        <rFont val="Calibri"/>
        <family val="2"/>
        <scheme val="minor"/>
      </rPr>
      <t>O</t>
    </r>
  </si>
  <si>
    <r>
      <t>Note:</t>
    </r>
    <r>
      <rPr>
        <b/>
        <sz val="11"/>
        <rFont val="Calibri"/>
        <family val="2"/>
        <scheme val="minor"/>
      </rPr>
      <t xml:space="preserve"> The emissions associated with electricity and/or steam import </t>
    </r>
  </si>
  <si>
    <r>
      <t>Total direct CO</t>
    </r>
    <r>
      <rPr>
        <vertAlign val="subscript"/>
        <sz val="10"/>
        <rFont val="Calibri"/>
        <family val="2"/>
        <scheme val="minor"/>
      </rPr>
      <t>2</t>
    </r>
    <r>
      <rPr>
        <sz val="10"/>
        <rFont val="Calibri"/>
        <family val="2"/>
        <scheme val="minor"/>
      </rPr>
      <t xml:space="preserve"> emissions from generating the total electricity/steam</t>
    </r>
  </si>
  <si>
    <r>
      <t>Total direct CH</t>
    </r>
    <r>
      <rPr>
        <vertAlign val="subscript"/>
        <sz val="10"/>
        <rFont val="Calibri"/>
        <family val="2"/>
        <scheme val="minor"/>
      </rPr>
      <t>4</t>
    </r>
    <r>
      <rPr>
        <sz val="10"/>
        <rFont val="Calibri"/>
        <family val="2"/>
        <scheme val="minor"/>
      </rPr>
      <t xml:space="preserve"> emissions from generating the total electricity/steam</t>
    </r>
  </si>
  <si>
    <r>
      <t>Total direct N</t>
    </r>
    <r>
      <rPr>
        <vertAlign val="subscript"/>
        <sz val="10"/>
        <rFont val="Calibri"/>
        <family val="2"/>
        <scheme val="minor"/>
      </rPr>
      <t>2</t>
    </r>
    <r>
      <rPr>
        <sz val="10"/>
        <rFont val="Calibri"/>
        <family val="2"/>
        <scheme val="minor"/>
      </rPr>
      <t>O emissions from generating the total electricity/steam</t>
    </r>
  </si>
  <si>
    <r>
      <t>Indirect CO</t>
    </r>
    <r>
      <rPr>
        <vertAlign val="subscript"/>
        <sz val="10"/>
        <rFont val="Calibri"/>
        <family val="2"/>
        <scheme val="minor"/>
      </rPr>
      <t>2</t>
    </r>
    <r>
      <rPr>
        <sz val="10"/>
        <rFont val="Calibri"/>
        <family val="2"/>
        <scheme val="minor"/>
      </rPr>
      <t xml:space="preserve"> emissions impact related to exported power or steam</t>
    </r>
  </si>
  <si>
    <r>
      <t>Indirect CH</t>
    </r>
    <r>
      <rPr>
        <vertAlign val="subscript"/>
        <sz val="10"/>
        <rFont val="Calibri"/>
        <family val="2"/>
        <scheme val="minor"/>
      </rPr>
      <t>4</t>
    </r>
    <r>
      <rPr>
        <sz val="10"/>
        <rFont val="Calibri"/>
        <family val="2"/>
        <scheme val="minor"/>
      </rPr>
      <t xml:space="preserve"> emissions impact related to exported power or steam</t>
    </r>
  </si>
  <si>
    <r>
      <t>Indirect N</t>
    </r>
    <r>
      <rPr>
        <vertAlign val="subscript"/>
        <sz val="10"/>
        <rFont val="Calibri"/>
        <family val="2"/>
        <scheme val="minor"/>
      </rPr>
      <t>2</t>
    </r>
    <r>
      <rPr>
        <sz val="10"/>
        <rFont val="Calibri"/>
        <family val="2"/>
        <scheme val="minor"/>
      </rPr>
      <t>O emissions impact related to exported power or steam</t>
    </r>
  </si>
  <si>
    <r>
      <t>metric tonnes CO</t>
    </r>
    <r>
      <rPr>
        <vertAlign val="subscript"/>
        <sz val="10"/>
        <rFont val="Calibri"/>
        <family val="2"/>
        <scheme val="minor"/>
      </rPr>
      <t>2</t>
    </r>
  </si>
  <si>
    <r>
      <t>metric tonnes N</t>
    </r>
    <r>
      <rPr>
        <vertAlign val="subscript"/>
        <sz val="10"/>
        <rFont val="Calibri"/>
        <family val="2"/>
        <scheme val="minor"/>
      </rPr>
      <t>2</t>
    </r>
    <r>
      <rPr>
        <sz val="10"/>
        <rFont val="Calibri"/>
        <family val="2"/>
        <scheme val="minor"/>
      </rPr>
      <t>O</t>
    </r>
  </si>
  <si>
    <r>
      <t>metric tonnes CO</t>
    </r>
    <r>
      <rPr>
        <vertAlign val="subscript"/>
        <sz val="10"/>
        <rFont val="Calibri"/>
        <family val="2"/>
        <scheme val="minor"/>
      </rPr>
      <t>2</t>
    </r>
    <r>
      <rPr>
        <sz val="10"/>
        <rFont val="Calibri"/>
        <family val="2"/>
        <scheme val="minor"/>
      </rPr>
      <t xml:space="preserve"> equiv. / MWh</t>
    </r>
  </si>
  <si>
    <r>
      <t>metric tonnes CO</t>
    </r>
    <r>
      <rPr>
        <vertAlign val="subscript"/>
        <sz val="10"/>
        <rFont val="Calibri"/>
        <family val="2"/>
        <scheme val="minor"/>
      </rPr>
      <t xml:space="preserve">2 </t>
    </r>
    <r>
      <rPr>
        <sz val="10"/>
        <rFont val="Calibri"/>
        <family val="2"/>
        <scheme val="minor"/>
      </rPr>
      <t>equiv / MWh</t>
    </r>
  </si>
  <si>
    <r>
      <t>Step 5: Sum CO</t>
    </r>
    <r>
      <rPr>
        <b/>
        <vertAlign val="subscript"/>
        <sz val="10"/>
        <rFont val="Calibri"/>
        <family val="2"/>
        <scheme val="minor"/>
      </rPr>
      <t xml:space="preserve">2 </t>
    </r>
    <r>
      <rPr>
        <b/>
        <sz val="10"/>
        <rFont val="Calibri"/>
        <family val="2"/>
        <scheme val="minor"/>
      </rPr>
      <t>emissions impacts related to exported power or steam:</t>
    </r>
  </si>
  <si>
    <r>
      <t>Note:</t>
    </r>
    <r>
      <rPr>
        <sz val="11"/>
        <rFont val="Calibri"/>
        <family val="2"/>
        <scheme val="minor"/>
      </rPr>
      <t xml:space="preserve"> The emissions and indirect emissions impacts related to electricity and steam </t>
    </r>
    <r>
      <rPr>
        <b/>
        <sz val="11"/>
        <rFont val="Calibri"/>
        <family val="2"/>
        <scheme val="minor"/>
      </rPr>
      <t>exports</t>
    </r>
    <r>
      <rPr>
        <sz val="11"/>
        <rFont val="Calibri"/>
        <family val="2"/>
        <scheme val="minor"/>
      </rPr>
      <t xml:space="preserve"> </t>
    </r>
  </si>
  <si>
    <r>
      <t xml:space="preserve">should be reported separately from indirect emissions from </t>
    </r>
    <r>
      <rPr>
        <b/>
        <sz val="11"/>
        <rFont val="Calibri"/>
        <family val="2"/>
        <scheme val="minor"/>
      </rPr>
      <t>imported</t>
    </r>
    <r>
      <rPr>
        <sz val="11"/>
        <rFont val="Calibri"/>
        <family val="2"/>
        <scheme val="minor"/>
      </rPr>
      <t xml:space="preserve"> power or steam</t>
    </r>
  </si>
  <si>
    <r>
      <t>CO</t>
    </r>
    <r>
      <rPr>
        <b/>
        <vertAlign val="subscript"/>
        <sz val="12"/>
        <rFont val="Calibri"/>
        <family val="2"/>
        <scheme val="minor"/>
      </rPr>
      <t xml:space="preserve">2
</t>
    </r>
    <r>
      <rPr>
        <b/>
        <sz val="12"/>
        <rFont val="Calibri"/>
        <family val="2"/>
        <scheme val="minor"/>
      </rPr>
      <t>(metric tonnes)</t>
    </r>
  </si>
  <si>
    <r>
      <t>CH</t>
    </r>
    <r>
      <rPr>
        <b/>
        <vertAlign val="subscript"/>
        <sz val="12"/>
        <rFont val="Calibri"/>
        <family val="2"/>
        <scheme val="minor"/>
      </rPr>
      <t xml:space="preserve">4
</t>
    </r>
    <r>
      <rPr>
        <b/>
        <sz val="12"/>
        <rFont val="Calibri"/>
        <family val="2"/>
        <scheme val="minor"/>
      </rPr>
      <t>(metric tonnes)</t>
    </r>
  </si>
  <si>
    <r>
      <t>N</t>
    </r>
    <r>
      <rPr>
        <b/>
        <vertAlign val="subscript"/>
        <sz val="12"/>
        <rFont val="Calibri"/>
        <family val="2"/>
        <scheme val="minor"/>
      </rPr>
      <t>2</t>
    </r>
    <r>
      <rPr>
        <b/>
        <sz val="12"/>
        <rFont val="Calibri"/>
        <family val="2"/>
        <scheme val="minor"/>
      </rPr>
      <t>O
(metric tonnes)</t>
    </r>
  </si>
  <si>
    <r>
      <t>CO</t>
    </r>
    <r>
      <rPr>
        <b/>
        <vertAlign val="subscript"/>
        <sz val="12"/>
        <rFont val="Calibri"/>
        <family val="2"/>
        <scheme val="minor"/>
      </rPr>
      <t>2</t>
    </r>
    <r>
      <rPr>
        <b/>
        <sz val="12"/>
        <rFont val="Calibri"/>
        <family val="2"/>
        <scheme val="minor"/>
      </rPr>
      <t>-equiv
(metric tonnes)</t>
    </r>
  </si>
  <si>
    <r>
      <t>Combustion-Related Releases of Biomass-Derived CO</t>
    </r>
    <r>
      <rPr>
        <b/>
        <vertAlign val="subscript"/>
        <sz val="16"/>
        <rFont val="Calibri"/>
        <family val="2"/>
        <scheme val="minor"/>
      </rPr>
      <t>2</t>
    </r>
  </si>
  <si>
    <r>
      <t>Combustion-Related Releases of Biomass-Derived CO</t>
    </r>
    <r>
      <rPr>
        <vertAlign val="subscript"/>
        <sz val="12"/>
        <rFont val="Calibri"/>
        <family val="2"/>
        <scheme val="minor"/>
      </rPr>
      <t>2</t>
    </r>
    <r>
      <rPr>
        <sz val="12"/>
        <rFont val="Calibri"/>
        <family val="2"/>
        <scheme val="minor"/>
      </rPr>
      <t xml:space="preserve">
[ metric tons CO</t>
    </r>
    <r>
      <rPr>
        <vertAlign val="subscript"/>
        <sz val="12"/>
        <rFont val="Calibri"/>
        <family val="2"/>
        <scheme val="minor"/>
      </rPr>
      <t xml:space="preserve">2 </t>
    </r>
    <r>
      <rPr>
        <sz val="12"/>
        <rFont val="Calibri"/>
        <family val="2"/>
        <scheme val="minor"/>
      </rPr>
      <t xml:space="preserve"> / year ]</t>
    </r>
  </si>
  <si>
    <r>
      <t>kg CO</t>
    </r>
    <r>
      <rPr>
        <vertAlign val="subscript"/>
        <sz val="10"/>
        <rFont val="Calibri"/>
        <family val="2"/>
        <scheme val="minor"/>
      </rPr>
      <t>2</t>
    </r>
    <r>
      <rPr>
        <sz val="10"/>
        <rFont val="Calibri"/>
        <family val="2"/>
        <scheme val="minor"/>
      </rPr>
      <t xml:space="preserve"> / GJ</t>
    </r>
  </si>
  <si>
    <t>Sub Bituminous coal‡</t>
  </si>
  <si>
    <t>Lignite‡</t>
  </si>
  <si>
    <r>
      <t>0.0371 GJ / m</t>
    </r>
    <r>
      <rPr>
        <vertAlign val="superscript"/>
        <sz val="10"/>
        <rFont val="Calibri"/>
        <family val="2"/>
        <scheme val="minor"/>
      </rPr>
      <t>3</t>
    </r>
  </si>
  <si>
    <r>
      <t>0.673 kg / m</t>
    </r>
    <r>
      <rPr>
        <vertAlign val="superscript"/>
        <sz val="10"/>
        <rFont val="Calibri"/>
        <family val="2"/>
        <scheme val="minor"/>
      </rPr>
      <t>3</t>
    </r>
  </si>
  <si>
    <r>
      <t>* Based on "standard conditions" of 60</t>
    </r>
    <r>
      <rPr>
        <vertAlign val="superscript"/>
        <sz val="10"/>
        <rFont val="Calibri"/>
        <family val="2"/>
        <scheme val="minor"/>
      </rPr>
      <t>o</t>
    </r>
    <r>
      <rPr>
        <sz val="10"/>
        <rFont val="Calibri"/>
        <family val="2"/>
        <scheme val="minor"/>
      </rPr>
      <t>F (15.6</t>
    </r>
    <r>
      <rPr>
        <vertAlign val="superscript"/>
        <sz val="10"/>
        <rFont val="Calibri"/>
        <family val="2"/>
        <scheme val="minor"/>
      </rPr>
      <t>o</t>
    </r>
    <r>
      <rPr>
        <sz val="10"/>
        <rFont val="Calibri"/>
        <family val="2"/>
        <scheme val="minor"/>
      </rPr>
      <t>C) and 1 atm pressure, per API</t>
    </r>
  </si>
  <si>
    <r>
      <t>Wood (40% H</t>
    </r>
    <r>
      <rPr>
        <vertAlign val="subscript"/>
        <sz val="10"/>
        <rFont val="Calibri"/>
        <family val="2"/>
        <scheme val="minor"/>
      </rPr>
      <t>2</t>
    </r>
    <r>
      <rPr>
        <sz val="10"/>
        <rFont val="Calibri"/>
        <family val="2"/>
        <scheme val="minor"/>
      </rPr>
      <t>O)**</t>
    </r>
  </si>
  <si>
    <r>
      <t>Wood (20% H</t>
    </r>
    <r>
      <rPr>
        <vertAlign val="subscript"/>
        <sz val="10"/>
        <rFont val="Calibri"/>
        <family val="2"/>
        <scheme val="minor"/>
      </rPr>
      <t>2</t>
    </r>
    <r>
      <rPr>
        <sz val="10"/>
        <rFont val="Calibri"/>
        <family val="2"/>
        <scheme val="minor"/>
      </rPr>
      <t>O)**</t>
    </r>
  </si>
  <si>
    <r>
      <t>Wood (15% H</t>
    </r>
    <r>
      <rPr>
        <vertAlign val="subscript"/>
        <sz val="10"/>
        <rFont val="Calibri"/>
        <family val="2"/>
        <scheme val="minor"/>
      </rPr>
      <t>2</t>
    </r>
    <r>
      <rPr>
        <sz val="10"/>
        <rFont val="Calibri"/>
        <family val="2"/>
        <scheme val="minor"/>
      </rPr>
      <t>O)**</t>
    </r>
  </si>
  <si>
    <r>
      <t>Wood (0% H</t>
    </r>
    <r>
      <rPr>
        <vertAlign val="subscript"/>
        <sz val="10"/>
        <rFont val="Calibri"/>
        <family val="2"/>
        <scheme val="minor"/>
      </rPr>
      <t>2</t>
    </r>
    <r>
      <rPr>
        <sz val="10"/>
        <rFont val="Calibri"/>
        <family val="2"/>
        <scheme val="minor"/>
      </rPr>
      <t>O)**</t>
    </r>
  </si>
  <si>
    <r>
      <t>CO</t>
    </r>
    <r>
      <rPr>
        <vertAlign val="subscript"/>
        <sz val="10"/>
        <rFont val="Calibri"/>
        <family val="2"/>
        <scheme val="minor"/>
      </rPr>
      <t>2</t>
    </r>
    <r>
      <rPr>
        <sz val="10"/>
        <rFont val="Calibri"/>
        <family val="2"/>
        <scheme val="minor"/>
      </rPr>
      <t xml:space="preserve"> emission factor:
[default value is:
solid biomass:  103*
kg CO</t>
    </r>
    <r>
      <rPr>
        <vertAlign val="subscript"/>
        <sz val="10"/>
        <rFont val="Calibri"/>
        <family val="2"/>
        <scheme val="minor"/>
      </rPr>
      <t>2</t>
    </r>
    <r>
      <rPr>
        <sz val="10"/>
        <rFont val="Calibri"/>
        <family val="2"/>
        <scheme val="minor"/>
      </rPr>
      <t>/GJ HHV]</t>
    </r>
  </si>
  <si>
    <r>
      <t>Unit of CO</t>
    </r>
    <r>
      <rPr>
        <vertAlign val="subscript"/>
        <sz val="10"/>
        <rFont val="Calibri"/>
        <family val="2"/>
        <scheme val="minor"/>
      </rPr>
      <t>2</t>
    </r>
    <r>
      <rPr>
        <sz val="10"/>
        <rFont val="Calibri"/>
        <family val="2"/>
        <scheme val="minor"/>
      </rPr>
      <t xml:space="preserve"> emission factor</t>
    </r>
  </si>
  <si>
    <r>
      <t>CO</t>
    </r>
    <r>
      <rPr>
        <vertAlign val="subscript"/>
        <sz val="10"/>
        <rFont val="Calibri"/>
        <family val="2"/>
        <scheme val="minor"/>
      </rPr>
      <t>2</t>
    </r>
    <r>
      <rPr>
        <sz val="10"/>
        <rFont val="Calibri"/>
        <family val="2"/>
        <scheme val="minor"/>
      </rPr>
      <t xml:space="preserve"> emissions in kg CO2/yr </t>
    </r>
  </si>
  <si>
    <r>
      <t>CO</t>
    </r>
    <r>
      <rPr>
        <vertAlign val="subscript"/>
        <sz val="10"/>
        <rFont val="Calibri"/>
        <family val="2"/>
        <scheme val="minor"/>
      </rPr>
      <t>2</t>
    </r>
    <r>
      <rPr>
        <sz val="10"/>
        <rFont val="Calibri"/>
        <family val="2"/>
        <scheme val="minor"/>
      </rPr>
      <t xml:space="preserve"> emissions in metric tonnes/yr</t>
    </r>
  </si>
  <si>
    <r>
      <t xml:space="preserve">* Emission factor for solid biomass from Intergovernmental Panel on Climate Change (IPCC). 1997. </t>
    </r>
    <r>
      <rPr>
        <i/>
        <sz val="12"/>
        <rFont val="Calibri"/>
        <family val="2"/>
        <scheme val="minor"/>
      </rPr>
      <t>Revised 1996 IPCC Guidelines for National Greenhouse Gas Inventories: Reference Manual (Volume 3)</t>
    </r>
    <r>
      <rPr>
        <sz val="12"/>
        <rFont val="Calibri"/>
        <family val="2"/>
        <scheme val="minor"/>
      </rPr>
      <t xml:space="preserve">. Table 1.1, corrected for 1% unburned carbon per USEPA  </t>
    </r>
    <r>
      <rPr>
        <i/>
        <sz val="12"/>
        <rFont val="Calibri"/>
        <family val="2"/>
        <scheme val="minor"/>
      </rPr>
      <t>AP-42 Emission Factors for Wood Residue Combustion in Boilers – Supplement G</t>
    </r>
    <r>
      <rPr>
        <sz val="12"/>
        <rFont val="Calibri"/>
        <family val="2"/>
        <scheme val="minor"/>
      </rPr>
      <t>, July 2001.  United States Environmental Protection Agency. Washington, D.C.</t>
    </r>
  </si>
  <si>
    <r>
      <t>Estimating CO</t>
    </r>
    <r>
      <rPr>
        <b/>
        <vertAlign val="subscript"/>
        <sz val="14"/>
        <rFont val="Calibri"/>
        <family val="2"/>
        <scheme val="minor"/>
      </rPr>
      <t xml:space="preserve">2 </t>
    </r>
    <r>
      <rPr>
        <b/>
        <sz val="14"/>
        <rFont val="Calibri"/>
        <family val="2"/>
        <scheme val="minor"/>
      </rPr>
      <t>Emissions from Biomass Combustion.</t>
    </r>
  </si>
  <si>
    <r>
      <t>Many wood products manufacturing facilities generate more than half of their energy needs from biomass fuels recovered from the industry’s waste and process streams.  The CO</t>
    </r>
    <r>
      <rPr>
        <i/>
        <vertAlign val="subscript"/>
        <sz val="11"/>
        <rFont val="Calibri"/>
        <family val="2"/>
        <scheme val="minor"/>
      </rPr>
      <t>2</t>
    </r>
    <r>
      <rPr>
        <i/>
        <sz val="11"/>
        <rFont val="Calibri"/>
        <family val="2"/>
        <scheme val="minor"/>
      </rPr>
      <t xml:space="preserve"> generated when biomass fuels are burned is not included in GHG emission totals.  The GHG Protocol, however, requires that biomass-derived CO</t>
    </r>
    <r>
      <rPr>
        <i/>
        <vertAlign val="subscript"/>
        <sz val="11"/>
        <rFont val="Calibri"/>
        <family val="2"/>
        <scheme val="minor"/>
      </rPr>
      <t>2</t>
    </r>
    <r>
      <rPr>
        <i/>
        <sz val="11"/>
        <rFont val="Calibri"/>
        <family val="2"/>
        <scheme val="minor"/>
      </rPr>
      <t xml:space="preserve"> be reported as additional information.  This is the approach generally prescribed for national inventories by the United Nations Framework Convention on Climate Change.</t>
    </r>
  </si>
  <si>
    <t xml:space="preserve">User entry </t>
  </si>
  <si>
    <r>
      <t>kg CO</t>
    </r>
    <r>
      <rPr>
        <vertAlign val="subscript"/>
        <sz val="10"/>
        <rFont val="Calibri"/>
        <family val="2"/>
        <scheme val="minor"/>
      </rPr>
      <t>2</t>
    </r>
    <r>
      <rPr>
        <sz val="10"/>
        <rFont val="Calibri"/>
        <family val="2"/>
        <scheme val="minor"/>
      </rPr>
      <t xml:space="preserve"> / GJ HHV</t>
    </r>
  </si>
  <si>
    <r>
      <t>Biomass Carbon Released as CO</t>
    </r>
    <r>
      <rPr>
        <b/>
        <vertAlign val="subscript"/>
        <sz val="10"/>
        <rFont val="Calibri"/>
        <family val="2"/>
        <scheme val="minor"/>
      </rPr>
      <t>2</t>
    </r>
    <r>
      <rPr>
        <b/>
        <sz val="10"/>
        <rFont val="Calibri"/>
        <family val="2"/>
        <scheme val="minor"/>
      </rPr>
      <t xml:space="preserve"> from Combustion of Wood or Bark</t>
    </r>
  </si>
  <si>
    <t>Version</t>
  </si>
  <si>
    <t>Changes</t>
  </si>
  <si>
    <t>Changed Method 3 on waste management tab to conform to IPCC methodology</t>
  </si>
  <si>
    <t>Implementor</t>
  </si>
  <si>
    <t>BJM</t>
  </si>
  <si>
    <t>Date</t>
  </si>
  <si>
    <t>Updated 100 year global warming potentials to IPCC AR6 and modified spreadsheet to enable easily changed GWPs.</t>
  </si>
  <si>
    <t>Corrected error in Method 3 for reported methane generation.</t>
  </si>
  <si>
    <t>Created Revision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</si>
</sst>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0.0"/>
    <numFmt numFmtId="165" formatCode="#,##0.0"/>
    <numFmt numFmtId="166" formatCode="0.000"/>
    <numFmt numFmtId="167" formatCode="0.0000"/>
    <numFmt numFmtId="168" formatCode="#,##0.000"/>
    <numFmt numFmtId="169" formatCode="_(* #,##0.0_);_(* \(#,##0.0\);_(* &quot;-&quot;??_);_(@_)"/>
    <numFmt numFmtId="170" formatCode="###0.00_)"/>
    <numFmt numFmtId="171" formatCode="0.0_W"/>
    <numFmt numFmtId="172" formatCode="#,##0_)"/>
    <numFmt numFmtId="173" formatCode="#,##0.0000"/>
    <numFmt numFmtId="174" formatCode="_(* #,##0_);_(* \(#,##0\);_(* &quot;-&quot;??_);_(@_)"/>
  </numFmts>
  <fonts count="93" x14ac:knownFonts="1">
    <font>
      <sz val="10"/>
      <name val="Arial"/>
    </font>
    <font>
      <sz val="11"/>
      <color theme="1"/>
      <name val="Calibri"/>
      <family val="2"/>
      <scheme val="minor"/>
    </font>
    <font>
      <sz val="10"/>
      <name val="Arial"/>
      <family val="2"/>
    </font>
    <font>
      <sz val="12"/>
      <name val="Arial"/>
      <family val="2"/>
    </font>
    <font>
      <b/>
      <sz val="10"/>
      <name val="Arial"/>
      <family val="2"/>
    </font>
    <font>
      <sz val="10"/>
      <name val="Arial"/>
      <family val="2"/>
    </font>
    <font>
      <b/>
      <sz val="12"/>
      <name val="Arial"/>
      <family val="2"/>
    </font>
    <font>
      <sz val="1"/>
      <name val="Arial"/>
      <family val="2"/>
    </font>
    <font>
      <sz val="8"/>
      <name val="Arial"/>
      <family val="2"/>
    </font>
    <font>
      <vertAlign val="superscript"/>
      <sz val="12"/>
      <name val="Arial"/>
      <family val="2"/>
    </font>
    <font>
      <vertAlign val="subscript"/>
      <sz val="12"/>
      <name val="Arial"/>
      <family val="2"/>
    </font>
    <font>
      <b/>
      <sz val="14"/>
      <name val="Arial"/>
      <family val="2"/>
    </font>
    <font>
      <b/>
      <sz val="8"/>
      <color indexed="81"/>
      <name val="Tahoma"/>
      <family val="2"/>
    </font>
    <font>
      <b/>
      <i/>
      <sz val="14"/>
      <name val="Arial"/>
      <family val="2"/>
    </font>
    <font>
      <sz val="12"/>
      <name val="Helv"/>
    </font>
    <font>
      <b/>
      <sz val="12"/>
      <name val="Helv"/>
    </font>
    <font>
      <sz val="9"/>
      <name val="Helv"/>
    </font>
    <font>
      <vertAlign val="superscript"/>
      <sz val="12"/>
      <name val="Helv"/>
    </font>
    <font>
      <sz val="10"/>
      <name val="Helv"/>
    </font>
    <font>
      <b/>
      <sz val="18"/>
      <name val="Arial"/>
      <family val="2"/>
    </font>
    <font>
      <b/>
      <sz val="12"/>
      <name val="Arial"/>
      <family val="2"/>
    </font>
    <font>
      <b/>
      <sz val="9"/>
      <name val="Helv"/>
    </font>
    <font>
      <sz val="8.5"/>
      <name val="Helv"/>
    </font>
    <font>
      <b/>
      <sz val="10"/>
      <name val="Helv"/>
    </font>
    <font>
      <sz val="8"/>
      <name val="Helv"/>
    </font>
    <font>
      <b/>
      <sz val="14"/>
      <name val="Helv"/>
    </font>
    <font>
      <sz val="8"/>
      <name val="Arial"/>
      <family val="2"/>
    </font>
    <font>
      <b/>
      <sz val="12"/>
      <color theme="1"/>
      <name val="Calibri"/>
      <family val="2"/>
      <scheme val="minor"/>
    </font>
    <font>
      <b/>
      <sz val="11"/>
      <color theme="1"/>
      <name val="Calibri"/>
      <family val="2"/>
      <scheme val="minor"/>
    </font>
    <font>
      <vertAlign val="subscript"/>
      <sz val="11"/>
      <color theme="1"/>
      <name val="Calibri"/>
      <family val="2"/>
      <scheme val="minor"/>
    </font>
    <font>
      <b/>
      <i/>
      <sz val="11"/>
      <color theme="1"/>
      <name val="Calibri"/>
      <family val="2"/>
      <scheme val="minor"/>
    </font>
    <font>
      <u/>
      <sz val="11"/>
      <color theme="10"/>
      <name val="Calibri"/>
      <family val="2"/>
      <scheme val="minor"/>
    </font>
    <font>
      <sz val="12"/>
      <name val="Calibri"/>
      <family val="2"/>
      <scheme val="minor"/>
    </font>
    <font>
      <b/>
      <u/>
      <sz val="16"/>
      <name val="Calibri"/>
      <family val="2"/>
      <scheme val="minor"/>
    </font>
    <font>
      <b/>
      <sz val="14"/>
      <name val="Calibri"/>
      <family val="2"/>
      <scheme val="minor"/>
    </font>
    <font>
      <b/>
      <sz val="12"/>
      <name val="Calibri"/>
      <family val="2"/>
      <scheme val="minor"/>
    </font>
    <font>
      <sz val="14"/>
      <name val="Calibri"/>
      <family val="2"/>
      <scheme val="minor"/>
    </font>
    <font>
      <sz val="10"/>
      <name val="Calibri"/>
      <family val="2"/>
      <scheme val="minor"/>
    </font>
    <font>
      <vertAlign val="subscript"/>
      <sz val="12"/>
      <name val="Calibri"/>
      <family val="2"/>
      <scheme val="minor"/>
    </font>
    <font>
      <i/>
      <sz val="11"/>
      <name val="Calibri"/>
      <family val="2"/>
      <scheme val="minor"/>
    </font>
    <font>
      <sz val="11"/>
      <name val="Calibri"/>
      <family val="2"/>
      <scheme val="minor"/>
    </font>
    <font>
      <b/>
      <u/>
      <sz val="12"/>
      <name val="Calibri"/>
      <family val="2"/>
      <scheme val="minor"/>
    </font>
    <font>
      <sz val="8"/>
      <name val="Calibri"/>
      <family val="2"/>
      <scheme val="minor"/>
    </font>
    <font>
      <sz val="10"/>
      <name val="Arial"/>
      <family val="2"/>
    </font>
    <font>
      <b/>
      <sz val="10"/>
      <name val="Calibri"/>
      <family val="2"/>
      <scheme val="minor"/>
    </font>
    <font>
      <sz val="12"/>
      <color rgb="FF1F497D"/>
      <name val="Calibri"/>
      <family val="2"/>
      <scheme val="minor"/>
    </font>
    <font>
      <b/>
      <sz val="8"/>
      <name val="Calibri"/>
      <family val="2"/>
      <scheme val="minor"/>
    </font>
    <font>
      <b/>
      <sz val="11"/>
      <name val="Calibri"/>
      <family val="2"/>
      <scheme val="minor"/>
    </font>
    <font>
      <b/>
      <sz val="16"/>
      <name val="Calibri"/>
      <family val="2"/>
      <scheme val="minor"/>
    </font>
    <font>
      <b/>
      <i/>
      <sz val="12"/>
      <name val="Calibri"/>
      <family val="2"/>
      <scheme val="minor"/>
    </font>
    <font>
      <b/>
      <sz val="18"/>
      <color indexed="10"/>
      <name val="Calibri"/>
      <family val="2"/>
      <scheme val="minor"/>
    </font>
    <font>
      <b/>
      <sz val="18"/>
      <name val="Calibri"/>
      <family val="2"/>
      <scheme val="minor"/>
    </font>
    <font>
      <sz val="18"/>
      <name val="Calibri"/>
      <family val="2"/>
      <scheme val="minor"/>
    </font>
    <font>
      <b/>
      <sz val="12"/>
      <color indexed="10"/>
      <name val="Calibri"/>
      <family val="2"/>
      <scheme val="minor"/>
    </font>
    <font>
      <b/>
      <i/>
      <sz val="10"/>
      <name val="Calibri"/>
      <family val="2"/>
      <scheme val="minor"/>
    </font>
    <font>
      <sz val="10"/>
      <color indexed="47"/>
      <name val="Calibri"/>
      <family val="2"/>
      <scheme val="minor"/>
    </font>
    <font>
      <vertAlign val="subscript"/>
      <sz val="10"/>
      <name val="Calibri"/>
      <family val="2"/>
      <scheme val="minor"/>
    </font>
    <font>
      <b/>
      <sz val="10"/>
      <color indexed="10"/>
      <name val="Calibri"/>
      <family val="2"/>
      <scheme val="minor"/>
    </font>
    <font>
      <sz val="10"/>
      <color indexed="9"/>
      <name val="Calibri"/>
      <family val="2"/>
      <scheme val="minor"/>
    </font>
    <font>
      <b/>
      <sz val="10"/>
      <color indexed="9"/>
      <name val="Calibri"/>
      <family val="2"/>
      <scheme val="minor"/>
    </font>
    <font>
      <b/>
      <vertAlign val="subscript"/>
      <sz val="12"/>
      <name val="Calibri"/>
      <family val="2"/>
      <scheme val="minor"/>
    </font>
    <font>
      <b/>
      <u/>
      <sz val="11"/>
      <name val="Calibri"/>
      <family val="2"/>
      <scheme val="minor"/>
    </font>
    <font>
      <b/>
      <vertAlign val="subscript"/>
      <sz val="10"/>
      <name val="Calibri"/>
      <family val="2"/>
      <scheme val="minor"/>
    </font>
    <font>
      <sz val="9"/>
      <name val="Calibri"/>
      <family val="2"/>
      <scheme val="minor"/>
    </font>
    <font>
      <sz val="9"/>
      <color indexed="18"/>
      <name val="Calibri"/>
      <family val="2"/>
      <scheme val="minor"/>
    </font>
    <font>
      <sz val="9"/>
      <color indexed="11"/>
      <name val="Calibri"/>
      <family val="2"/>
      <scheme val="minor"/>
    </font>
    <font>
      <b/>
      <sz val="18"/>
      <color indexed="8"/>
      <name val="Calibri"/>
      <family val="2"/>
      <scheme val="minor"/>
    </font>
    <font>
      <b/>
      <sz val="12"/>
      <color indexed="11"/>
      <name val="Calibri"/>
      <family val="2"/>
      <scheme val="minor"/>
    </font>
    <font>
      <sz val="10"/>
      <color indexed="11"/>
      <name val="Calibri"/>
      <family val="2"/>
      <scheme val="minor"/>
    </font>
    <font>
      <b/>
      <sz val="9"/>
      <color indexed="52"/>
      <name val="Calibri"/>
      <family val="2"/>
      <scheme val="minor"/>
    </font>
    <font>
      <b/>
      <sz val="9"/>
      <color indexed="8"/>
      <name val="Calibri"/>
      <family val="2"/>
      <scheme val="minor"/>
    </font>
    <font>
      <b/>
      <sz val="9"/>
      <color indexed="11"/>
      <name val="Calibri"/>
      <family val="2"/>
      <scheme val="minor"/>
    </font>
    <font>
      <b/>
      <sz val="9"/>
      <name val="Calibri"/>
      <family val="2"/>
      <scheme val="minor"/>
    </font>
    <font>
      <sz val="9"/>
      <color indexed="8"/>
      <name val="Calibri"/>
      <family val="2"/>
      <scheme val="minor"/>
    </font>
    <font>
      <b/>
      <sz val="9"/>
      <color indexed="9"/>
      <name val="Calibri"/>
      <family val="2"/>
      <scheme val="minor"/>
    </font>
    <font>
      <sz val="9"/>
      <color indexed="9"/>
      <name val="Calibri"/>
      <family val="2"/>
      <scheme val="minor"/>
    </font>
    <font>
      <b/>
      <sz val="10"/>
      <color indexed="52"/>
      <name val="Calibri"/>
      <family val="2"/>
      <scheme val="minor"/>
    </font>
    <font>
      <sz val="10"/>
      <color indexed="8"/>
      <name val="Calibri"/>
      <family val="2"/>
      <scheme val="minor"/>
    </font>
    <font>
      <b/>
      <sz val="11"/>
      <color indexed="8"/>
      <name val="Calibri"/>
      <family val="2"/>
      <scheme val="minor"/>
    </font>
    <font>
      <vertAlign val="superscript"/>
      <sz val="10"/>
      <name val="Calibri"/>
      <family val="2"/>
      <scheme val="minor"/>
    </font>
    <font>
      <vertAlign val="superscript"/>
      <sz val="9"/>
      <color indexed="8"/>
      <name val="Calibri"/>
      <family val="2"/>
      <scheme val="minor"/>
    </font>
    <font>
      <b/>
      <sz val="10"/>
      <color indexed="8"/>
      <name val="Calibri"/>
      <family val="2"/>
      <scheme val="minor"/>
    </font>
    <font>
      <sz val="10"/>
      <color indexed="10"/>
      <name val="Calibri"/>
      <family val="2"/>
      <scheme val="minor"/>
    </font>
    <font>
      <sz val="16"/>
      <name val="Calibri"/>
      <family val="2"/>
      <scheme val="minor"/>
    </font>
    <font>
      <sz val="10"/>
      <color indexed="27"/>
      <name val="Calibri"/>
      <family val="2"/>
      <scheme val="minor"/>
    </font>
    <font>
      <sz val="10"/>
      <color indexed="18"/>
      <name val="Calibri"/>
      <family val="2"/>
      <scheme val="minor"/>
    </font>
    <font>
      <b/>
      <sz val="10"/>
      <color indexed="11"/>
      <name val="Calibri"/>
      <family val="2"/>
      <scheme val="minor"/>
    </font>
    <font>
      <u/>
      <sz val="11"/>
      <name val="Calibri"/>
      <family val="2"/>
      <scheme val="minor"/>
    </font>
    <font>
      <b/>
      <vertAlign val="subscript"/>
      <sz val="16"/>
      <name val="Calibri"/>
      <family val="2"/>
      <scheme val="minor"/>
    </font>
    <font>
      <i/>
      <sz val="14"/>
      <name val="Calibri"/>
      <family val="2"/>
      <scheme val="minor"/>
    </font>
    <font>
      <i/>
      <sz val="12"/>
      <name val="Calibri"/>
      <family val="2"/>
      <scheme val="minor"/>
    </font>
    <font>
      <b/>
      <vertAlign val="subscript"/>
      <sz val="14"/>
      <name val="Calibri"/>
      <family val="2"/>
      <scheme val="minor"/>
    </font>
    <font>
      <i/>
      <vertAlign val="subscript"/>
      <sz val="11"/>
      <name val="Calibri"/>
      <family val="2"/>
      <scheme val="minor"/>
    </font>
  </fonts>
  <fills count="9">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rgb="FFEFE9DE"/>
        <bgColor indexed="64"/>
      </patternFill>
    </fill>
    <fill>
      <patternFill patternType="solid">
        <fgColor rgb="FFCEDDB1"/>
        <bgColor indexed="64"/>
      </patternFill>
    </fill>
    <fill>
      <patternFill patternType="solid">
        <fgColor rgb="FFA5A5A5"/>
        <bgColor indexed="64"/>
      </patternFill>
    </fill>
    <fill>
      <patternFill patternType="solid">
        <fgColor theme="0"/>
        <bgColor indexed="64"/>
      </patternFill>
    </fill>
    <fill>
      <patternFill patternType="darkDown">
        <bgColor rgb="FFEFE9DE"/>
      </patternFill>
    </fill>
  </fills>
  <borders count="61">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top style="medium">
        <color indexed="9"/>
      </top>
      <bottom style="medium">
        <color indexed="9"/>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64"/>
      </left>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style="thin">
        <color indexed="64"/>
      </right>
      <top/>
      <bottom style="double">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s>
  <cellStyleXfs count="54">
    <xf numFmtId="0" fontId="0" fillId="0" borderId="0"/>
    <xf numFmtId="0" fontId="14" fillId="0" borderId="0">
      <alignment horizontal="center" vertical="center" wrapText="1"/>
    </xf>
    <xf numFmtId="3" fontId="2" fillId="0" borderId="0" applyFont="0" applyFill="0" applyBorder="0" applyAlignment="0" applyProtection="0"/>
    <xf numFmtId="0" fontId="15" fillId="0" borderId="0">
      <alignment horizontal="left" vertical="center" wrapText="1"/>
    </xf>
    <xf numFmtId="169" fontId="2" fillId="0" borderId="0" applyFont="0" applyFill="0" applyBorder="0" applyAlignment="0" applyProtection="0"/>
    <xf numFmtId="3" fontId="16" fillId="0" borderId="1" applyAlignment="0">
      <alignment horizontal="right" vertical="center"/>
    </xf>
    <xf numFmtId="172" fontId="16" fillId="0" borderId="1">
      <alignment horizontal="right" vertical="center"/>
    </xf>
    <xf numFmtId="49" fontId="17" fillId="0" borderId="1">
      <alignment horizontal="left" vertical="center"/>
    </xf>
    <xf numFmtId="170" fontId="18" fillId="0" borderId="1" applyNumberFormat="0" applyFill="0">
      <alignment horizontal="right"/>
    </xf>
    <xf numFmtId="171" fontId="18" fillId="0" borderId="1">
      <alignment horizontal="right"/>
    </xf>
    <xf numFmtId="0" fontId="2" fillId="0" borderId="0" applyFont="0" applyFill="0" applyBorder="0" applyAlignment="0" applyProtection="0"/>
    <xf numFmtId="2"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
      <alignment horizontal="left"/>
    </xf>
    <xf numFmtId="0" fontId="21" fillId="0" borderId="2">
      <alignment horizontal="right" vertical="center"/>
    </xf>
    <xf numFmtId="0" fontId="22" fillId="0" borderId="1">
      <alignment horizontal="left" vertical="center"/>
    </xf>
    <xf numFmtId="0" fontId="18" fillId="0" borderId="1">
      <alignment horizontal="left" vertical="center"/>
    </xf>
    <xf numFmtId="0" fontId="23" fillId="0" borderId="1">
      <alignment horizontal="left"/>
    </xf>
    <xf numFmtId="0" fontId="23" fillId="2" borderId="0">
      <alignment horizontal="centerContinuous" wrapText="1"/>
    </xf>
    <xf numFmtId="49" fontId="23" fillId="2" borderId="3">
      <alignment horizontal="left" vertical="center"/>
    </xf>
    <xf numFmtId="0" fontId="23" fillId="2" borderId="0">
      <alignment horizontal="centerContinuous" vertical="center" wrapText="1"/>
    </xf>
    <xf numFmtId="41"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3" fontId="16" fillId="0" borderId="0">
      <alignment horizontal="left" vertical="center"/>
    </xf>
    <xf numFmtId="0" fontId="14" fillId="0" borderId="0">
      <alignment horizontal="left" vertical="center"/>
    </xf>
    <xf numFmtId="0" fontId="24" fillId="0" borderId="0">
      <alignment horizontal="right"/>
    </xf>
    <xf numFmtId="49" fontId="24" fillId="0" borderId="0">
      <alignment horizontal="center"/>
    </xf>
    <xf numFmtId="0" fontId="17" fillId="0" borderId="0">
      <alignment horizontal="right"/>
    </xf>
    <xf numFmtId="0" fontId="24" fillId="0" borderId="0">
      <alignment horizontal="left"/>
    </xf>
    <xf numFmtId="49" fontId="16" fillId="0" borderId="0">
      <alignment horizontal="left" vertical="center"/>
    </xf>
    <xf numFmtId="49" fontId="17" fillId="0" borderId="1">
      <alignment horizontal="left" vertical="center"/>
    </xf>
    <xf numFmtId="49" fontId="14" fillId="0" borderId="1" applyFill="0">
      <alignment horizontal="left" vertical="center"/>
    </xf>
    <xf numFmtId="49" fontId="17" fillId="0" borderId="1">
      <alignment horizontal="left"/>
    </xf>
    <xf numFmtId="170" fontId="16" fillId="0" borderId="0" applyNumberFormat="0">
      <alignment horizontal="right"/>
    </xf>
    <xf numFmtId="0" fontId="21" fillId="3" borderId="0">
      <alignment horizontal="centerContinuous" vertical="center" wrapText="1"/>
    </xf>
    <xf numFmtId="0" fontId="21" fillId="0" borderId="4">
      <alignment horizontal="left" vertical="center"/>
    </xf>
    <xf numFmtId="0" fontId="25" fillId="0" borderId="0">
      <alignment horizontal="left" vertical="top"/>
    </xf>
    <xf numFmtId="0" fontId="23" fillId="0" borderId="0">
      <alignment horizontal="left"/>
    </xf>
    <xf numFmtId="0" fontId="15" fillId="0" borderId="0">
      <alignment horizontal="left"/>
    </xf>
    <xf numFmtId="0" fontId="18" fillId="0" borderId="0">
      <alignment horizontal="left"/>
    </xf>
    <xf numFmtId="0" fontId="25" fillId="0" borderId="0">
      <alignment horizontal="left" vertical="top"/>
    </xf>
    <xf numFmtId="0" fontId="15" fillId="0" borderId="0">
      <alignment horizontal="left"/>
    </xf>
    <xf numFmtId="0" fontId="18" fillId="0" borderId="0">
      <alignment horizontal="left"/>
    </xf>
    <xf numFmtId="0" fontId="2" fillId="0" borderId="5" applyNumberFormat="0" applyFont="0" applyFill="0" applyAlignment="0" applyProtection="0"/>
    <xf numFmtId="49" fontId="16" fillId="0" borderId="1">
      <alignment horizontal="left"/>
    </xf>
    <xf numFmtId="0" fontId="21" fillId="0" borderId="2">
      <alignment horizontal="left"/>
    </xf>
    <xf numFmtId="0" fontId="23" fillId="0" borderId="0">
      <alignment horizontal="left" vertical="center"/>
    </xf>
    <xf numFmtId="49" fontId="24" fillId="0" borderId="1">
      <alignment horizontal="left"/>
    </xf>
    <xf numFmtId="0" fontId="1" fillId="0" borderId="0"/>
    <xf numFmtId="0" fontId="31" fillId="0" borderId="0" applyNumberFormat="0" applyFill="0" applyBorder="0" applyAlignment="0" applyProtection="0"/>
    <xf numFmtId="43" fontId="43" fillId="0" borderId="0" applyFont="0" applyFill="0" applyBorder="0" applyAlignment="0" applyProtection="0"/>
  </cellStyleXfs>
  <cellXfs count="897">
    <xf numFmtId="0" fontId="0" fillId="0" borderId="0" xfId="0"/>
    <xf numFmtId="0" fontId="4" fillId="0" borderId="0" xfId="0" applyFont="1"/>
    <xf numFmtId="0" fontId="8" fillId="0" borderId="0" xfId="0" applyFont="1"/>
    <xf numFmtId="0" fontId="5" fillId="0" borderId="0" xfId="0" applyFont="1"/>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6" fillId="0" borderId="0" xfId="0" applyFont="1"/>
    <xf numFmtId="0" fontId="37" fillId="0" borderId="0" xfId="0" applyFont="1"/>
    <xf numFmtId="0" fontId="32" fillId="0" borderId="0" xfId="0" applyFont="1"/>
    <xf numFmtId="0" fontId="37" fillId="0" borderId="0" xfId="0" applyFont="1" applyBorder="1"/>
    <xf numFmtId="0" fontId="32" fillId="4" borderId="0" xfId="0" applyFont="1" applyFill="1" applyBorder="1" applyAlignment="1">
      <alignment vertical="top"/>
    </xf>
    <xf numFmtId="0" fontId="37" fillId="4" borderId="50" xfId="0" applyFont="1" applyFill="1" applyBorder="1" applyAlignment="1">
      <alignment vertical="top"/>
    </xf>
    <xf numFmtId="0" fontId="37" fillId="4" borderId="48" xfId="0" applyFont="1" applyFill="1" applyBorder="1" applyAlignment="1">
      <alignment vertical="top"/>
    </xf>
    <xf numFmtId="0" fontId="37" fillId="4" borderId="35" xfId="0" applyFont="1" applyFill="1" applyBorder="1" applyAlignment="1">
      <alignment vertical="top"/>
    </xf>
    <xf numFmtId="0" fontId="37" fillId="4" borderId="49" xfId="0" applyFont="1" applyFill="1" applyBorder="1" applyAlignment="1">
      <alignment vertical="top"/>
    </xf>
    <xf numFmtId="0" fontId="44" fillId="4" borderId="0" xfId="0" applyFont="1" applyFill="1" applyBorder="1" applyAlignment="1">
      <alignment horizontal="right" vertical="top"/>
    </xf>
    <xf numFmtId="0" fontId="35" fillId="4" borderId="0" xfId="0" applyFont="1" applyFill="1" applyBorder="1" applyAlignment="1">
      <alignment horizontal="right" vertical="top"/>
    </xf>
    <xf numFmtId="0" fontId="35" fillId="4" borderId="0" xfId="0" applyFont="1" applyFill="1" applyBorder="1" applyAlignment="1">
      <alignment horizontal="left" vertical="top" wrapText="1"/>
    </xf>
    <xf numFmtId="0" fontId="32" fillId="4" borderId="0" xfId="0" applyFont="1" applyFill="1" applyBorder="1" applyAlignment="1">
      <alignment horizontal="left" vertical="top" wrapText="1"/>
    </xf>
    <xf numFmtId="0" fontId="35" fillId="4" borderId="11" xfId="0" applyFont="1" applyFill="1" applyBorder="1" applyAlignment="1">
      <alignment vertical="top"/>
    </xf>
    <xf numFmtId="0" fontId="32" fillId="4" borderId="5" xfId="0" applyFont="1" applyFill="1" applyBorder="1" applyAlignment="1">
      <alignment vertical="top"/>
    </xf>
    <xf numFmtId="0" fontId="32" fillId="4" borderId="12" xfId="0" applyFont="1" applyFill="1" applyBorder="1" applyAlignment="1">
      <alignment vertical="top"/>
    </xf>
    <xf numFmtId="0" fontId="32" fillId="4" borderId="13" xfId="0" applyFont="1" applyFill="1" applyBorder="1" applyAlignment="1">
      <alignment vertical="top"/>
    </xf>
    <xf numFmtId="0" fontId="45" fillId="4" borderId="0" xfId="0" applyFont="1" applyFill="1" applyAlignment="1">
      <alignment vertical="top"/>
    </xf>
    <xf numFmtId="0" fontId="32" fillId="4" borderId="14" xfId="0" applyFont="1" applyFill="1" applyBorder="1" applyAlignment="1">
      <alignment vertical="top"/>
    </xf>
    <xf numFmtId="0" fontId="32" fillId="4" borderId="0" xfId="0" applyFont="1" applyFill="1" applyAlignment="1">
      <alignment horizontal="right" vertical="top"/>
    </xf>
    <xf numFmtId="0" fontId="32" fillId="5" borderId="6" xfId="0" applyFont="1" applyFill="1" applyBorder="1" applyAlignment="1">
      <alignment vertical="top"/>
    </xf>
    <xf numFmtId="0" fontId="32" fillId="6" borderId="6" xfId="0" applyFont="1" applyFill="1" applyBorder="1" applyAlignment="1">
      <alignment vertical="top"/>
    </xf>
    <xf numFmtId="0" fontId="32" fillId="4" borderId="17" xfId="0" applyFont="1" applyFill="1" applyBorder="1" applyAlignment="1">
      <alignment vertical="top"/>
    </xf>
    <xf numFmtId="0" fontId="32" fillId="4" borderId="18" xfId="0" applyFont="1" applyFill="1" applyBorder="1" applyAlignment="1">
      <alignment vertical="top"/>
    </xf>
    <xf numFmtId="0" fontId="32" fillId="4" borderId="16" xfId="0" applyFont="1" applyFill="1" applyBorder="1" applyAlignment="1">
      <alignment vertical="top"/>
    </xf>
    <xf numFmtId="0" fontId="37" fillId="4" borderId="50" xfId="0" applyFont="1" applyFill="1" applyBorder="1"/>
    <xf numFmtId="0" fontId="37" fillId="4" borderId="51" xfId="0" applyFont="1" applyFill="1" applyBorder="1"/>
    <xf numFmtId="0" fontId="37" fillId="4" borderId="0" xfId="0" applyFont="1" applyFill="1" applyBorder="1"/>
    <xf numFmtId="0" fontId="37" fillId="4" borderId="0" xfId="0" applyFont="1" applyFill="1" applyBorder="1" applyAlignment="1"/>
    <xf numFmtId="0" fontId="32" fillId="4" borderId="50" xfId="0" applyFont="1" applyFill="1" applyBorder="1"/>
    <xf numFmtId="0" fontId="32" fillId="4" borderId="0" xfId="0" applyFont="1" applyFill="1" applyBorder="1"/>
    <xf numFmtId="0" fontId="32" fillId="4" borderId="51" xfId="0" applyFont="1" applyFill="1" applyBorder="1"/>
    <xf numFmtId="0" fontId="41" fillId="4" borderId="0" xfId="0" applyFont="1" applyFill="1" applyBorder="1"/>
    <xf numFmtId="0" fontId="32" fillId="4" borderId="0" xfId="0" applyFont="1" applyFill="1" applyBorder="1" applyAlignment="1">
      <alignment vertical="center"/>
    </xf>
    <xf numFmtId="0" fontId="36" fillId="7" borderId="0" xfId="0" applyFont="1" applyFill="1"/>
    <xf numFmtId="0" fontId="37" fillId="7" borderId="0" xfId="0" applyFont="1" applyFill="1"/>
    <xf numFmtId="0" fontId="32" fillId="7" borderId="0" xfId="0" applyFont="1" applyFill="1"/>
    <xf numFmtId="0" fontId="37" fillId="7" borderId="0" xfId="0" applyFont="1" applyFill="1" applyBorder="1"/>
    <xf numFmtId="0" fontId="32" fillId="4" borderId="0" xfId="0" applyFont="1" applyFill="1"/>
    <xf numFmtId="0" fontId="32" fillId="4" borderId="0" xfId="0" applyFont="1" applyFill="1" applyBorder="1" applyAlignment="1">
      <alignment horizontal="left" vertical="center"/>
    </xf>
    <xf numFmtId="0" fontId="32" fillId="4" borderId="51" xfId="0" applyFont="1" applyFill="1" applyBorder="1" applyAlignment="1">
      <alignment horizontal="left" vertical="center"/>
    </xf>
    <xf numFmtId="0" fontId="32" fillId="4" borderId="35" xfId="0" applyFont="1" applyFill="1" applyBorder="1" applyAlignment="1">
      <alignment horizontal="left" vertical="center"/>
    </xf>
    <xf numFmtId="0" fontId="32" fillId="4" borderId="49" xfId="0" applyFont="1" applyFill="1" applyBorder="1" applyAlignment="1">
      <alignment horizontal="left" vertical="center"/>
    </xf>
    <xf numFmtId="0" fontId="32" fillId="4" borderId="45" xfId="0" applyFont="1" applyFill="1" applyBorder="1"/>
    <xf numFmtId="0" fontId="35" fillId="4" borderId="47" xfId="0" applyFont="1" applyFill="1" applyBorder="1"/>
    <xf numFmtId="0" fontId="32" fillId="4" borderId="47" xfId="0" applyFont="1" applyFill="1" applyBorder="1"/>
    <xf numFmtId="0" fontId="32" fillId="4" borderId="46" xfId="0" applyFont="1" applyFill="1" applyBorder="1"/>
    <xf numFmtId="0" fontId="35" fillId="4" borderId="0" xfId="0" applyFont="1" applyFill="1" applyBorder="1" applyAlignment="1">
      <alignment vertical="center"/>
    </xf>
    <xf numFmtId="0" fontId="32" fillId="4" borderId="51" xfId="0" applyFont="1" applyFill="1" applyBorder="1" applyAlignment="1">
      <alignment vertical="center"/>
    </xf>
    <xf numFmtId="0" fontId="32" fillId="4" borderId="50" xfId="0" applyFont="1" applyFill="1" applyBorder="1" applyAlignment="1">
      <alignment vertical="center"/>
    </xf>
    <xf numFmtId="0" fontId="32" fillId="4" borderId="48" xfId="0" applyFont="1" applyFill="1" applyBorder="1"/>
    <xf numFmtId="0" fontId="32" fillId="4" borderId="35" xfId="0" applyFont="1" applyFill="1" applyBorder="1"/>
    <xf numFmtId="0" fontId="32" fillId="0" borderId="0" xfId="0" applyFont="1" applyBorder="1" applyAlignment="1">
      <alignment horizontal="left" vertical="top" wrapText="1"/>
    </xf>
    <xf numFmtId="0" fontId="32" fillId="0" borderId="0" xfId="0" applyFont="1" applyAlignment="1">
      <alignment horizontal="left"/>
    </xf>
    <xf numFmtId="0" fontId="32" fillId="0" borderId="0" xfId="0" applyFont="1" applyAlignment="1">
      <alignment horizontal="right"/>
    </xf>
    <xf numFmtId="0" fontId="34" fillId="0" borderId="0" xfId="0" applyFont="1" applyBorder="1" applyAlignment="1">
      <alignment horizontal="center" vertical="top" wrapText="1"/>
    </xf>
    <xf numFmtId="0" fontId="37" fillId="4" borderId="5" xfId="0" applyFont="1" applyFill="1" applyBorder="1" applyAlignment="1">
      <alignment wrapText="1"/>
    </xf>
    <xf numFmtId="0" fontId="37" fillId="4" borderId="12" xfId="0" applyFont="1" applyFill="1" applyBorder="1" applyAlignment="1">
      <alignment wrapText="1"/>
    </xf>
    <xf numFmtId="0" fontId="37" fillId="4" borderId="0" xfId="0" applyFont="1" applyFill="1" applyBorder="1" applyAlignment="1">
      <alignment wrapText="1"/>
    </xf>
    <xf numFmtId="0" fontId="37" fillId="4" borderId="14" xfId="0" applyFont="1" applyFill="1" applyBorder="1" applyAlignment="1">
      <alignment wrapText="1"/>
    </xf>
    <xf numFmtId="0" fontId="37" fillId="4" borderId="13" xfId="0" applyFont="1" applyFill="1" applyBorder="1" applyAlignment="1">
      <alignment wrapText="1"/>
    </xf>
    <xf numFmtId="0" fontId="44" fillId="4" borderId="0" xfId="0" applyFont="1" applyFill="1" applyBorder="1" applyAlignment="1">
      <alignment wrapText="1"/>
    </xf>
    <xf numFmtId="0" fontId="37" fillId="4" borderId="25" xfId="0" applyFont="1" applyFill="1" applyBorder="1" applyAlignment="1">
      <alignment wrapText="1"/>
    </xf>
    <xf numFmtId="0" fontId="37" fillId="4" borderId="27" xfId="0" applyFont="1" applyFill="1" applyBorder="1"/>
    <xf numFmtId="0" fontId="37" fillId="4" borderId="27" xfId="0" applyFont="1" applyFill="1" applyBorder="1" applyAlignment="1">
      <alignment horizontal="center"/>
    </xf>
    <xf numFmtId="0" fontId="44" fillId="4" borderId="3" xfId="0" applyFont="1" applyFill="1" applyBorder="1" applyAlignment="1">
      <alignment wrapText="1"/>
    </xf>
    <xf numFmtId="0" fontId="37" fillId="4" borderId="22" xfId="0" applyFont="1" applyFill="1" applyBorder="1" applyAlignment="1">
      <alignment wrapText="1"/>
    </xf>
    <xf numFmtId="0" fontId="37" fillId="4" borderId="38" xfId="0" applyFont="1" applyFill="1" applyBorder="1" applyAlignment="1">
      <alignment horizontal="center" vertical="center" wrapText="1"/>
    </xf>
    <xf numFmtId="0" fontId="37" fillId="7" borderId="23" xfId="0" applyFont="1" applyFill="1" applyBorder="1" applyAlignment="1">
      <alignment wrapText="1"/>
    </xf>
    <xf numFmtId="0" fontId="37" fillId="7" borderId="24" xfId="0" applyFont="1" applyFill="1" applyBorder="1" applyAlignment="1">
      <alignment wrapText="1"/>
    </xf>
    <xf numFmtId="0" fontId="37" fillId="4" borderId="17" xfId="0" applyFont="1" applyFill="1" applyBorder="1" applyAlignment="1">
      <alignment wrapText="1"/>
    </xf>
    <xf numFmtId="0" fontId="37" fillId="4" borderId="18" xfId="0" applyFont="1" applyFill="1" applyBorder="1" applyAlignment="1">
      <alignment wrapText="1"/>
    </xf>
    <xf numFmtId="0" fontId="37" fillId="4" borderId="16" xfId="0" applyFont="1" applyFill="1" applyBorder="1" applyAlignment="1">
      <alignment wrapText="1"/>
    </xf>
    <xf numFmtId="0" fontId="37" fillId="0" borderId="0" xfId="0" applyFont="1" applyAlignment="1">
      <alignment horizontal="center"/>
    </xf>
    <xf numFmtId="0" fontId="44" fillId="4" borderId="13" xfId="0" applyFont="1" applyFill="1" applyBorder="1" applyAlignment="1">
      <alignment wrapText="1"/>
    </xf>
    <xf numFmtId="0" fontId="37" fillId="5" borderId="6" xfId="0" applyFont="1" applyFill="1" applyBorder="1" applyAlignment="1">
      <alignment vertical="top"/>
    </xf>
    <xf numFmtId="0" fontId="49" fillId="0" borderId="0" xfId="0" applyFont="1" applyAlignment="1">
      <alignment wrapText="1"/>
    </xf>
    <xf numFmtId="0" fontId="49" fillId="0" borderId="0" xfId="0" applyFont="1" applyAlignment="1"/>
    <xf numFmtId="0" fontId="34" fillId="0" borderId="0" xfId="0" applyFont="1"/>
    <xf numFmtId="0" fontId="37" fillId="0" borderId="0" xfId="0" applyFont="1" applyFill="1"/>
    <xf numFmtId="2" fontId="37" fillId="0" borderId="0" xfId="0" applyNumberFormat="1" applyFont="1" applyFill="1"/>
    <xf numFmtId="0" fontId="37" fillId="0" borderId="0" xfId="0" applyFont="1" applyFill="1" applyBorder="1"/>
    <xf numFmtId="2" fontId="37" fillId="0" borderId="0" xfId="0" applyNumberFormat="1" applyFont="1" applyFill="1" applyBorder="1" applyAlignment="1" applyProtection="1">
      <alignment horizontal="left" vertical="center"/>
    </xf>
    <xf numFmtId="2" fontId="37" fillId="0" borderId="0" xfId="0" applyNumberFormat="1" applyFont="1" applyFill="1" applyBorder="1" applyAlignment="1" applyProtection="1">
      <alignment horizontal="left" vertical="center" wrapText="1"/>
    </xf>
    <xf numFmtId="0" fontId="37" fillId="4" borderId="0" xfId="0" applyFont="1" applyFill="1"/>
    <xf numFmtId="2" fontId="37" fillId="4" borderId="0" xfId="0" applyNumberFormat="1" applyFont="1" applyFill="1"/>
    <xf numFmtId="0" fontId="51" fillId="4" borderId="0" xfId="0" applyFont="1" applyFill="1"/>
    <xf numFmtId="0" fontId="34" fillId="4" borderId="0" xfId="0" applyFont="1" applyFill="1"/>
    <xf numFmtId="0" fontId="35" fillId="4" borderId="0" xfId="0" applyFont="1" applyFill="1"/>
    <xf numFmtId="0" fontId="37" fillId="4" borderId="18" xfId="0" applyFont="1" applyFill="1" applyBorder="1"/>
    <xf numFmtId="0" fontId="44" fillId="4" borderId="11" xfId="0" applyFont="1" applyFill="1" applyBorder="1" applyAlignment="1">
      <alignment vertical="center"/>
    </xf>
    <xf numFmtId="0" fontId="35" fillId="4" borderId="5" xfId="0" applyFont="1" applyFill="1" applyBorder="1"/>
    <xf numFmtId="0" fontId="34" fillId="4" borderId="5" xfId="0" applyFont="1" applyFill="1" applyBorder="1" applyAlignment="1">
      <alignment horizontal="center"/>
    </xf>
    <xf numFmtId="2" fontId="37" fillId="4" borderId="5" xfId="0" applyNumberFormat="1" applyFont="1" applyFill="1" applyBorder="1"/>
    <xf numFmtId="0" fontId="37" fillId="4" borderId="12" xfId="0" applyFont="1" applyFill="1" applyBorder="1"/>
    <xf numFmtId="2" fontId="37" fillId="4" borderId="0" xfId="0" applyNumberFormat="1" applyFont="1" applyFill="1" applyBorder="1"/>
    <xf numFmtId="0" fontId="37" fillId="4" borderId="14" xfId="0" applyFont="1" applyFill="1" applyBorder="1"/>
    <xf numFmtId="0" fontId="44" fillId="4" borderId="0" xfId="0" applyFont="1" applyFill="1" applyBorder="1"/>
    <xf numFmtId="0" fontId="37" fillId="4" borderId="17" xfId="0" applyFont="1" applyFill="1" applyBorder="1" applyAlignment="1">
      <alignment horizontal="left"/>
    </xf>
    <xf numFmtId="0" fontId="37" fillId="4" borderId="18" xfId="0" applyFont="1" applyFill="1" applyBorder="1" applyAlignment="1">
      <alignment horizontal="left"/>
    </xf>
    <xf numFmtId="2" fontId="37" fillId="4" borderId="18" xfId="0" applyNumberFormat="1" applyFont="1" applyFill="1" applyBorder="1" applyAlignment="1">
      <alignment horizontal="left"/>
    </xf>
    <xf numFmtId="2" fontId="55" fillId="4" borderId="18" xfId="0" applyNumberFormat="1" applyFont="1" applyFill="1" applyBorder="1"/>
    <xf numFmtId="2" fontId="37" fillId="4" borderId="18" xfId="0" applyNumberFormat="1" applyFont="1" applyFill="1" applyBorder="1"/>
    <xf numFmtId="0" fontId="37" fillId="4" borderId="16" xfId="0" applyFont="1" applyFill="1" applyBorder="1"/>
    <xf numFmtId="0" fontId="37" fillId="4" borderId="0" xfId="0" applyFont="1" applyFill="1" applyAlignment="1"/>
    <xf numFmtId="0" fontId="42" fillId="7" borderId="0" xfId="0" applyFont="1" applyFill="1" applyAlignment="1">
      <alignment horizontal="right"/>
    </xf>
    <xf numFmtId="0" fontId="42" fillId="7" borderId="0" xfId="0" applyFont="1" applyFill="1"/>
    <xf numFmtId="0" fontId="37" fillId="7" borderId="6" xfId="0" applyFont="1" applyFill="1" applyBorder="1"/>
    <xf numFmtId="0" fontId="37" fillId="4" borderId="0" xfId="0" applyFont="1" applyFill="1" applyBorder="1" applyAlignment="1">
      <alignment horizontal="left"/>
    </xf>
    <xf numFmtId="0" fontId="34" fillId="4" borderId="11" xfId="0" applyFont="1" applyFill="1" applyBorder="1"/>
    <xf numFmtId="0" fontId="37" fillId="4" borderId="5" xfId="0" applyFont="1" applyFill="1" applyBorder="1"/>
    <xf numFmtId="0" fontId="37" fillId="4" borderId="13" xfId="0" applyFont="1" applyFill="1" applyBorder="1"/>
    <xf numFmtId="2" fontId="37" fillId="4" borderId="15" xfId="0" applyNumberFormat="1" applyFont="1" applyFill="1" applyBorder="1"/>
    <xf numFmtId="2" fontId="37" fillId="4" borderId="15" xfId="0" applyNumberFormat="1" applyFont="1" applyFill="1" applyBorder="1" applyAlignment="1">
      <alignment wrapText="1"/>
    </xf>
    <xf numFmtId="0" fontId="37" fillId="4" borderId="6" xfId="0" applyFont="1" applyFill="1" applyBorder="1"/>
    <xf numFmtId="2" fontId="37" fillId="4" borderId="6" xfId="0" applyNumberFormat="1" applyFont="1" applyFill="1" applyBorder="1"/>
    <xf numFmtId="0" fontId="58" fillId="4" borderId="13" xfId="0" applyFont="1" applyFill="1" applyBorder="1"/>
    <xf numFmtId="2" fontId="37" fillId="4" borderId="0" xfId="0" applyNumberFormat="1" applyFont="1" applyFill="1" applyBorder="1" applyAlignment="1">
      <alignment horizontal="left"/>
    </xf>
    <xf numFmtId="2" fontId="55" fillId="4" borderId="0" xfId="0" applyNumberFormat="1" applyFont="1" applyFill="1" applyBorder="1"/>
    <xf numFmtId="4" fontId="44" fillId="4" borderId="9" xfId="0" applyNumberFormat="1" applyFont="1" applyFill="1" applyBorder="1" applyAlignment="1">
      <alignment horizontal="center" vertical="center"/>
    </xf>
    <xf numFmtId="4" fontId="44" fillId="4" borderId="14" xfId="0" applyNumberFormat="1" applyFont="1" applyFill="1" applyBorder="1" applyAlignment="1">
      <alignment horizontal="center" vertical="center"/>
    </xf>
    <xf numFmtId="2" fontId="44" fillId="4" borderId="6" xfId="0" applyNumberFormat="1" applyFont="1" applyFill="1" applyBorder="1" applyAlignment="1">
      <alignment horizontal="center" vertical="center"/>
    </xf>
    <xf numFmtId="4" fontId="44" fillId="4" borderId="6" xfId="0" applyNumberFormat="1" applyFont="1" applyFill="1" applyBorder="1" applyAlignment="1">
      <alignment horizontal="center" vertical="center"/>
    </xf>
    <xf numFmtId="4" fontId="44" fillId="4" borderId="6" xfId="0" applyNumberFormat="1" applyFont="1" applyFill="1" applyBorder="1" applyAlignment="1">
      <alignment horizontal="center" vertical="center" wrapText="1"/>
    </xf>
    <xf numFmtId="4" fontId="44" fillId="4" borderId="14" xfId="0" applyNumberFormat="1" applyFont="1" applyFill="1" applyBorder="1" applyAlignment="1">
      <alignment horizontal="center" vertical="center" wrapText="1"/>
    </xf>
    <xf numFmtId="2" fontId="37" fillId="4" borderId="7" xfId="0" applyNumberFormat="1" applyFont="1" applyFill="1" applyBorder="1" applyAlignment="1">
      <alignment horizontal="center" vertical="center" wrapText="1"/>
    </xf>
    <xf numFmtId="4" fontId="37" fillId="4" borderId="6" xfId="0" applyNumberFormat="1" applyFont="1" applyFill="1" applyBorder="1" applyAlignment="1">
      <alignment horizontal="center" vertical="center" wrapText="1"/>
    </xf>
    <xf numFmtId="4" fontId="37" fillId="4" borderId="14" xfId="0" applyNumberFormat="1" applyFont="1" applyFill="1" applyBorder="1" applyAlignment="1">
      <alignment horizontal="center" vertical="center" wrapText="1"/>
    </xf>
    <xf numFmtId="2" fontId="37" fillId="4" borderId="6" xfId="0" applyNumberFormat="1" applyFont="1" applyFill="1" applyBorder="1" applyAlignment="1">
      <alignment horizontal="center" vertical="center" wrapText="1"/>
    </xf>
    <xf numFmtId="3" fontId="37" fillId="4" borderId="6" xfId="0" applyNumberFormat="1" applyFont="1" applyFill="1" applyBorder="1" applyAlignment="1">
      <alignment horizontal="center" vertical="center" wrapText="1"/>
    </xf>
    <xf numFmtId="167" fontId="37" fillId="4" borderId="6" xfId="0" applyNumberFormat="1" applyFont="1" applyFill="1" applyBorder="1" applyAlignment="1">
      <alignment horizontal="center" vertical="center" wrapText="1"/>
    </xf>
    <xf numFmtId="173" fontId="37" fillId="4" borderId="6" xfId="0" applyNumberFormat="1" applyFont="1" applyFill="1" applyBorder="1" applyAlignment="1">
      <alignment horizontal="center" vertical="center" wrapText="1"/>
    </xf>
    <xf numFmtId="3" fontId="37" fillId="4" borderId="14" xfId="0" applyNumberFormat="1" applyFont="1" applyFill="1" applyBorder="1" applyAlignment="1">
      <alignment horizontal="center" vertical="center" wrapText="1"/>
    </xf>
    <xf numFmtId="2" fontId="58" fillId="4" borderId="6" xfId="0" applyNumberFormat="1" applyFont="1" applyFill="1" applyBorder="1" applyAlignment="1">
      <alignment horizontal="center" vertical="center" wrapText="1"/>
    </xf>
    <xf numFmtId="0" fontId="58" fillId="4" borderId="6" xfId="0" applyFont="1" applyFill="1" applyBorder="1" applyAlignment="1">
      <alignment horizontal="center" vertical="center" wrapText="1"/>
    </xf>
    <xf numFmtId="0" fontId="58" fillId="4" borderId="7" xfId="0" applyFont="1" applyFill="1" applyBorder="1" applyAlignment="1">
      <alignment horizontal="center" vertical="center" wrapText="1"/>
    </xf>
    <xf numFmtId="2" fontId="58" fillId="4" borderId="7" xfId="0" applyNumberFormat="1" applyFont="1" applyFill="1" applyBorder="1" applyAlignment="1">
      <alignment horizontal="center" vertical="center" wrapText="1"/>
    </xf>
    <xf numFmtId="2" fontId="58" fillId="4" borderId="14" xfId="0" applyNumberFormat="1" applyFont="1" applyFill="1" applyBorder="1" applyAlignment="1">
      <alignment horizontal="center" vertical="center" wrapText="1"/>
    </xf>
    <xf numFmtId="0" fontId="44" fillId="4" borderId="6" xfId="0" applyFont="1" applyFill="1" applyBorder="1" applyAlignment="1">
      <alignment horizontal="center" vertical="center"/>
    </xf>
    <xf numFmtId="2" fontId="44" fillId="4" borderId="0" xfId="0" applyNumberFormat="1" applyFont="1" applyFill="1" applyBorder="1" applyAlignment="1">
      <alignment horizontal="center" vertical="center"/>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4" fontId="44" fillId="7" borderId="9" xfId="0" applyNumberFormat="1" applyFont="1" applyFill="1" applyBorder="1" applyAlignment="1">
      <alignment horizontal="center" vertical="center"/>
    </xf>
    <xf numFmtId="2" fontId="44" fillId="7" borderId="6" xfId="0" applyNumberFormat="1" applyFont="1" applyFill="1" applyBorder="1" applyAlignment="1">
      <alignment horizontal="center" vertical="center"/>
    </xf>
    <xf numFmtId="4" fontId="44" fillId="7" borderId="6" xfId="0" applyNumberFormat="1" applyFont="1" applyFill="1" applyBorder="1" applyAlignment="1">
      <alignment horizontal="center" vertical="center"/>
    </xf>
    <xf numFmtId="4" fontId="44" fillId="7" borderId="6" xfId="0" applyNumberFormat="1" applyFont="1" applyFill="1" applyBorder="1" applyAlignment="1">
      <alignment horizontal="center" vertical="center" wrapText="1"/>
    </xf>
    <xf numFmtId="4" fontId="44" fillId="7" borderId="20" xfId="0" applyNumberFormat="1" applyFont="1" applyFill="1" applyBorder="1" applyAlignment="1">
      <alignment horizontal="center" vertical="center"/>
    </xf>
    <xf numFmtId="4" fontId="44" fillId="7" borderId="20" xfId="0" applyNumberFormat="1" applyFont="1" applyFill="1" applyBorder="1" applyAlignment="1">
      <alignment horizontal="center" vertical="center" wrapText="1"/>
    </xf>
    <xf numFmtId="2" fontId="37" fillId="7" borderId="7" xfId="0" applyNumberFormat="1" applyFont="1" applyFill="1" applyBorder="1" applyAlignment="1">
      <alignment horizontal="center" vertical="center" wrapText="1"/>
    </xf>
    <xf numFmtId="4" fontId="37" fillId="7" borderId="7" xfId="0" applyNumberFormat="1" applyFont="1" applyFill="1" applyBorder="1" applyAlignment="1">
      <alignment horizontal="center" vertical="center" wrapText="1"/>
    </xf>
    <xf numFmtId="4" fontId="37" fillId="7" borderId="6" xfId="0" applyNumberFormat="1" applyFont="1" applyFill="1" applyBorder="1" applyAlignment="1">
      <alignment horizontal="center" vertical="center" wrapText="1"/>
    </xf>
    <xf numFmtId="2" fontId="37" fillId="7" borderId="6" xfId="0" applyNumberFormat="1" applyFont="1" applyFill="1" applyBorder="1" applyAlignment="1">
      <alignment horizontal="center" vertical="center" wrapText="1"/>
    </xf>
    <xf numFmtId="3" fontId="37" fillId="7" borderId="6" xfId="0" applyNumberFormat="1" applyFont="1" applyFill="1" applyBorder="1" applyAlignment="1">
      <alignment horizontal="center" vertical="center" wrapText="1"/>
    </xf>
    <xf numFmtId="174" fontId="37" fillId="4" borderId="6" xfId="53" applyNumberFormat="1" applyFont="1" applyFill="1" applyBorder="1" applyAlignment="1">
      <alignment horizontal="center" vertical="center" wrapText="1"/>
    </xf>
    <xf numFmtId="173" fontId="37" fillId="7" borderId="6" xfId="0" applyNumberFormat="1" applyFont="1" applyFill="1" applyBorder="1" applyAlignment="1">
      <alignment horizontal="center" vertical="center" wrapText="1"/>
    </xf>
    <xf numFmtId="2" fontId="37" fillId="4" borderId="14" xfId="0" applyNumberFormat="1" applyFont="1" applyFill="1" applyBorder="1" applyAlignment="1">
      <alignment horizontal="center" vertical="center" wrapText="1"/>
    </xf>
    <xf numFmtId="0" fontId="32" fillId="4" borderId="13" xfId="0" applyFont="1" applyFill="1" applyBorder="1"/>
    <xf numFmtId="2" fontId="32" fillId="4" borderId="0" xfId="0" applyNumberFormat="1" applyFont="1" applyFill="1" applyBorder="1"/>
    <xf numFmtId="0" fontId="35" fillId="4" borderId="0" xfId="0" applyFont="1" applyFill="1" applyBorder="1" applyAlignment="1">
      <alignment horizontal="center"/>
    </xf>
    <xf numFmtId="0" fontId="35" fillId="4" borderId="14" xfId="0" applyFont="1" applyFill="1" applyBorder="1"/>
    <xf numFmtId="0" fontId="37" fillId="4" borderId="14" xfId="0" applyFont="1" applyFill="1" applyBorder="1" applyAlignment="1">
      <alignment vertical="center"/>
    </xf>
    <xf numFmtId="0" fontId="37" fillId="4" borderId="17" xfId="0" applyFont="1" applyFill="1" applyBorder="1"/>
    <xf numFmtId="0" fontId="37" fillId="4" borderId="16" xfId="0" applyFont="1" applyFill="1" applyBorder="1" applyAlignment="1">
      <alignment horizontal="center"/>
    </xf>
    <xf numFmtId="0" fontId="61" fillId="4" borderId="0" xfId="0" applyFont="1" applyFill="1" applyBorder="1"/>
    <xf numFmtId="0" fontId="47" fillId="4" borderId="0" xfId="0" applyFont="1" applyFill="1" applyBorder="1"/>
    <xf numFmtId="4" fontId="37" fillId="6" borderId="6" xfId="0" applyNumberFormat="1" applyFont="1" applyFill="1" applyBorder="1" applyAlignment="1">
      <alignment horizontal="center" vertical="center" wrapText="1"/>
    </xf>
    <xf numFmtId="173" fontId="37" fillId="6" borderId="6" xfId="0" applyNumberFormat="1" applyFont="1" applyFill="1" applyBorder="1" applyAlignment="1">
      <alignment horizontal="center" vertical="center" wrapText="1"/>
    </xf>
    <xf numFmtId="4" fontId="44" fillId="6" borderId="6" xfId="0" applyNumberFormat="1" applyFont="1" applyFill="1" applyBorder="1" applyAlignment="1">
      <alignment horizontal="center" vertical="center"/>
    </xf>
    <xf numFmtId="0" fontId="44" fillId="4" borderId="0" xfId="0" applyFont="1" applyFill="1" applyBorder="1" applyAlignment="1">
      <alignment horizontal="center"/>
    </xf>
    <xf numFmtId="0" fontId="44" fillId="4" borderId="14" xfId="0" applyFont="1" applyFill="1" applyBorder="1"/>
    <xf numFmtId="0" fontId="37" fillId="4" borderId="11"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44" fillId="4" borderId="3" xfId="0" applyFont="1" applyFill="1" applyBorder="1" applyAlignment="1">
      <alignment horizontal="center" vertical="center"/>
    </xf>
    <xf numFmtId="0" fontId="37" fillId="4" borderId="0" xfId="0" applyFont="1" applyFill="1" applyBorder="1" applyAlignment="1">
      <alignment horizontal="center" vertical="center"/>
    </xf>
    <xf numFmtId="0" fontId="37" fillId="4" borderId="14" xfId="0" applyFont="1" applyFill="1" applyBorder="1" applyAlignment="1">
      <alignment horizontal="center" vertical="center"/>
    </xf>
    <xf numFmtId="0" fontId="44" fillId="4" borderId="6" xfId="0" applyFont="1" applyFill="1" applyBorder="1" applyAlignment="1">
      <alignment horizontal="center" vertical="center" wrapText="1"/>
    </xf>
    <xf numFmtId="0" fontId="44" fillId="4" borderId="9" xfId="0" applyFont="1" applyFill="1" applyBorder="1" applyAlignment="1">
      <alignment horizontal="center" vertical="center" wrapText="1"/>
    </xf>
    <xf numFmtId="2" fontId="37" fillId="4" borderId="6" xfId="0" applyNumberFormat="1" applyFont="1" applyFill="1" applyBorder="1" applyAlignment="1">
      <alignment horizontal="center" vertical="center"/>
    </xf>
    <xf numFmtId="0" fontId="37" fillId="4" borderId="0" xfId="0" applyFont="1" applyFill="1" applyBorder="1" applyAlignment="1">
      <alignment horizontal="left" vertical="center"/>
    </xf>
    <xf numFmtId="2" fontId="37" fillId="4" borderId="0" xfId="0" applyNumberFormat="1" applyFont="1" applyFill="1" applyBorder="1" applyAlignment="1">
      <alignment horizontal="center" vertical="center"/>
    </xf>
    <xf numFmtId="2" fontId="37" fillId="4" borderId="0" xfId="0" applyNumberFormat="1" applyFont="1" applyFill="1" applyBorder="1" applyAlignment="1" applyProtection="1">
      <alignment horizontal="center" vertical="center"/>
    </xf>
    <xf numFmtId="2" fontId="37" fillId="4" borderId="14" xfId="0" applyNumberFormat="1" applyFont="1" applyFill="1" applyBorder="1" applyAlignment="1" applyProtection="1">
      <alignment horizontal="center" vertical="center"/>
    </xf>
    <xf numFmtId="2" fontId="37" fillId="4" borderId="0" xfId="0" applyNumberFormat="1" applyFont="1" applyFill="1" applyBorder="1" applyAlignment="1" applyProtection="1">
      <alignment horizontal="left" vertical="center"/>
    </xf>
    <xf numFmtId="0" fontId="37" fillId="4" borderId="0" xfId="0" applyFont="1" applyFill="1" applyAlignment="1">
      <alignment wrapText="1"/>
    </xf>
    <xf numFmtId="0" fontId="37" fillId="4" borderId="17" xfId="0" applyFont="1" applyFill="1" applyBorder="1" applyAlignment="1">
      <alignment horizontal="center" vertical="center"/>
    </xf>
    <xf numFmtId="0" fontId="37" fillId="4" borderId="18" xfId="0" applyFont="1" applyFill="1" applyBorder="1" applyAlignment="1">
      <alignment horizontal="center" vertical="center"/>
    </xf>
    <xf numFmtId="2" fontId="37" fillId="4" borderId="18" xfId="0" applyNumberFormat="1" applyFont="1" applyFill="1" applyBorder="1" applyAlignment="1">
      <alignment horizontal="center" vertical="center"/>
    </xf>
    <xf numFmtId="0" fontId="37" fillId="4" borderId="16" xfId="0" applyFont="1" applyFill="1" applyBorder="1" applyAlignment="1">
      <alignment horizontal="center" vertical="center"/>
    </xf>
    <xf numFmtId="2" fontId="37" fillId="6" borderId="9" xfId="0" applyNumberFormat="1" applyFont="1" applyFill="1" applyBorder="1" applyAlignment="1">
      <alignment horizontal="center" vertical="center" wrapText="1"/>
    </xf>
    <xf numFmtId="2" fontId="37" fillId="6" borderId="39" xfId="0" applyNumberFormat="1" applyFont="1" applyFill="1" applyBorder="1" applyAlignment="1">
      <alignment horizontal="center" vertical="center" wrapText="1"/>
    </xf>
    <xf numFmtId="2" fontId="37" fillId="6" borderId="37" xfId="0" applyNumberFormat="1" applyFont="1" applyFill="1" applyBorder="1" applyAlignment="1">
      <alignment horizontal="center" vertical="center" wrapText="1"/>
    </xf>
    <xf numFmtId="0" fontId="37" fillId="7" borderId="6" xfId="0" applyFont="1" applyFill="1" applyBorder="1" applyAlignment="1">
      <alignment horizontal="center" vertical="center" wrapText="1"/>
    </xf>
    <xf numFmtId="2" fontId="37" fillId="7" borderId="6" xfId="0" applyNumberFormat="1" applyFont="1" applyFill="1" applyBorder="1" applyAlignment="1">
      <alignment horizontal="center" vertical="center"/>
    </xf>
    <xf numFmtId="2" fontId="37" fillId="7" borderId="9" xfId="0" applyNumberFormat="1" applyFont="1" applyFill="1" applyBorder="1" applyAlignment="1">
      <alignment horizontal="center" vertical="center"/>
    </xf>
    <xf numFmtId="164" fontId="37" fillId="7" borderId="6" xfId="0" applyNumberFormat="1" applyFont="1" applyFill="1" applyBorder="1" applyAlignment="1">
      <alignment horizontal="center" vertical="center"/>
    </xf>
    <xf numFmtId="0" fontId="37" fillId="7" borderId="7" xfId="0" applyFont="1" applyFill="1" applyBorder="1" applyAlignment="1">
      <alignment horizontal="center" vertical="center" wrapText="1"/>
    </xf>
    <xf numFmtId="164" fontId="37" fillId="7" borderId="7" xfId="0" applyNumberFormat="1" applyFont="1" applyFill="1" applyBorder="1" applyAlignment="1">
      <alignment horizontal="center" vertical="center"/>
    </xf>
    <xf numFmtId="2" fontId="37" fillId="7" borderId="7" xfId="0" applyNumberFormat="1" applyFont="1" applyFill="1" applyBorder="1" applyAlignment="1">
      <alignment horizontal="left" vertical="center" wrapText="1"/>
    </xf>
    <xf numFmtId="0" fontId="37" fillId="7" borderId="8" xfId="0" applyFont="1" applyFill="1" applyBorder="1" applyAlignment="1">
      <alignment horizontal="center" vertical="center" wrapText="1"/>
    </xf>
    <xf numFmtId="2" fontId="37" fillId="7" borderId="8" xfId="0" applyNumberFormat="1" applyFont="1" applyFill="1" applyBorder="1" applyAlignment="1">
      <alignment horizontal="left" vertical="center" wrapText="1"/>
    </xf>
    <xf numFmtId="2" fontId="37" fillId="7" borderId="6" xfId="0" applyNumberFormat="1" applyFont="1" applyFill="1" applyBorder="1" applyAlignment="1">
      <alignment horizontal="left" vertical="center" wrapText="1"/>
    </xf>
    <xf numFmtId="0" fontId="63" fillId="0" borderId="0" xfId="0" applyFont="1" applyFill="1"/>
    <xf numFmtId="4" fontId="63" fillId="0" borderId="0" xfId="0" applyNumberFormat="1" applyFont="1" applyFill="1"/>
    <xf numFmtId="165" fontId="63" fillId="0" borderId="0" xfId="0" applyNumberFormat="1" applyFont="1" applyFill="1"/>
    <xf numFmtId="0" fontId="63" fillId="0" borderId="0" xfId="0" applyFont="1" applyFill="1" applyBorder="1"/>
    <xf numFmtId="0" fontId="37" fillId="4" borderId="15" xfId="0" applyFont="1" applyFill="1" applyBorder="1" applyAlignment="1">
      <alignment horizontal="right"/>
    </xf>
    <xf numFmtId="0" fontId="49" fillId="4" borderId="0" xfId="0" applyFont="1" applyFill="1" applyAlignment="1"/>
    <xf numFmtId="0" fontId="49" fillId="4" borderId="0" xfId="0" applyFont="1" applyFill="1" applyAlignment="1">
      <alignment wrapText="1"/>
    </xf>
    <xf numFmtId="0" fontId="63" fillId="4" borderId="0" xfId="0" applyFont="1" applyFill="1"/>
    <xf numFmtId="0" fontId="44" fillId="4" borderId="0" xfId="0" applyFont="1" applyFill="1" applyAlignment="1"/>
    <xf numFmtId="0" fontId="44" fillId="4" borderId="0" xfId="0" applyFont="1" applyFill="1" applyAlignment="1">
      <alignment wrapText="1"/>
    </xf>
    <xf numFmtId="0" fontId="37" fillId="4" borderId="18" xfId="0" applyFont="1" applyFill="1" applyBorder="1" applyAlignment="1"/>
    <xf numFmtId="0" fontId="37" fillId="4" borderId="12" xfId="0" applyFont="1" applyFill="1" applyBorder="1" applyAlignment="1"/>
    <xf numFmtId="0" fontId="37" fillId="4" borderId="14" xfId="0" applyFont="1" applyFill="1" applyBorder="1" applyAlignment="1"/>
    <xf numFmtId="0" fontId="63" fillId="4" borderId="17" xfId="0" applyFont="1" applyFill="1" applyBorder="1"/>
    <xf numFmtId="0" fontId="44" fillId="4" borderId="18" xfId="0" applyFont="1" applyFill="1" applyBorder="1" applyAlignment="1">
      <alignment wrapText="1"/>
    </xf>
    <xf numFmtId="0" fontId="37" fillId="4" borderId="33" xfId="0" applyFont="1" applyFill="1" applyBorder="1" applyAlignment="1"/>
    <xf numFmtId="0" fontId="37" fillId="4" borderId="16" xfId="0" applyFont="1" applyFill="1" applyBorder="1" applyAlignment="1"/>
    <xf numFmtId="0" fontId="63" fillId="4" borderId="18" xfId="0" applyFont="1" applyFill="1" applyBorder="1"/>
    <xf numFmtId="4" fontId="63" fillId="4" borderId="18" xfId="0" applyNumberFormat="1" applyFont="1" applyFill="1" applyBorder="1"/>
    <xf numFmtId="165" fontId="63" fillId="4" borderId="18" xfId="0" applyNumberFormat="1" applyFont="1" applyFill="1" applyBorder="1"/>
    <xf numFmtId="0" fontId="64" fillId="4" borderId="14" xfId="0" applyFont="1" applyFill="1" applyBorder="1"/>
    <xf numFmtId="0" fontId="64" fillId="4" borderId="11" xfId="0" applyFont="1" applyFill="1" applyBorder="1"/>
    <xf numFmtId="0" fontId="64" fillId="4" borderId="5" xfId="0" applyFont="1" applyFill="1" applyBorder="1"/>
    <xf numFmtId="4" fontId="64" fillId="4" borderId="5" xfId="0" applyNumberFormat="1" applyFont="1" applyFill="1" applyBorder="1"/>
    <xf numFmtId="165" fontId="64" fillId="4" borderId="5" xfId="0" applyNumberFormat="1" applyFont="1" applyFill="1" applyBorder="1"/>
    <xf numFmtId="0" fontId="64" fillId="4" borderId="0" xfId="0" applyFont="1" applyFill="1" applyBorder="1"/>
    <xf numFmtId="0" fontId="64" fillId="4" borderId="12" xfId="0" applyFont="1" applyFill="1" applyBorder="1"/>
    <xf numFmtId="0" fontId="64" fillId="4" borderId="0" xfId="0" applyFont="1" applyFill="1"/>
    <xf numFmtId="0" fontId="64" fillId="4" borderId="13" xfId="0" applyFont="1" applyFill="1" applyBorder="1"/>
    <xf numFmtId="4" fontId="64" fillId="4" borderId="0" xfId="0" applyNumberFormat="1" applyFont="1" applyFill="1" applyBorder="1"/>
    <xf numFmtId="165" fontId="64" fillId="4" borderId="0" xfId="0" applyNumberFormat="1" applyFont="1" applyFill="1" applyBorder="1"/>
    <xf numFmtId="0" fontId="66" fillId="4" borderId="13" xfId="0" applyFont="1" applyFill="1" applyBorder="1" applyAlignment="1">
      <alignment horizontal="left"/>
    </xf>
    <xf numFmtId="0" fontId="67" fillId="4" borderId="0" xfId="0" applyFont="1" applyFill="1" applyBorder="1" applyAlignment="1">
      <alignment horizontal="left"/>
    </xf>
    <xf numFmtId="4" fontId="67" fillId="4" borderId="0" xfId="0" applyNumberFormat="1" applyFont="1" applyFill="1" applyBorder="1" applyAlignment="1">
      <alignment horizontal="left"/>
    </xf>
    <xf numFmtId="0" fontId="65" fillId="4" borderId="0" xfId="0" applyFont="1" applyFill="1" applyBorder="1"/>
    <xf numFmtId="0" fontId="68" fillId="4" borderId="0" xfId="0" applyFont="1" applyFill="1" applyBorder="1"/>
    <xf numFmtId="4" fontId="68" fillId="4" borderId="0" xfId="0" applyNumberFormat="1" applyFont="1" applyFill="1" applyBorder="1"/>
    <xf numFmtId="165" fontId="68" fillId="4" borderId="0" xfId="0" applyNumberFormat="1" applyFont="1" applyFill="1" applyBorder="1"/>
    <xf numFmtId="0" fontId="69" fillId="4" borderId="14" xfId="0" applyFont="1" applyFill="1" applyBorder="1" applyAlignment="1">
      <alignment vertical="center"/>
    </xf>
    <xf numFmtId="0" fontId="65" fillId="4" borderId="14" xfId="0" applyFont="1" applyFill="1" applyBorder="1" applyAlignment="1">
      <alignment vertical="top"/>
    </xf>
    <xf numFmtId="0" fontId="70" fillId="4" borderId="13" xfId="0" applyFont="1" applyFill="1" applyBorder="1" applyAlignment="1">
      <alignment vertical="top"/>
    </xf>
    <xf numFmtId="0" fontId="65" fillId="4" borderId="0" xfId="0" applyFont="1" applyFill="1" applyBorder="1" applyAlignment="1">
      <alignment vertical="top"/>
    </xf>
    <xf numFmtId="0" fontId="71" fillId="4" borderId="0" xfId="0" applyFont="1" applyFill="1" applyBorder="1" applyAlignment="1">
      <alignment vertical="top"/>
    </xf>
    <xf numFmtId="4" fontId="71" fillId="4" borderId="0" xfId="0" applyNumberFormat="1" applyFont="1" applyFill="1" applyBorder="1" applyAlignment="1">
      <alignment vertical="top"/>
    </xf>
    <xf numFmtId="4" fontId="65" fillId="4" borderId="0" xfId="0" applyNumberFormat="1" applyFont="1" applyFill="1" applyBorder="1" applyAlignment="1">
      <alignment vertical="top"/>
    </xf>
    <xf numFmtId="165" fontId="65" fillId="4" borderId="0" xfId="0" applyNumberFormat="1" applyFont="1" applyFill="1" applyBorder="1" applyAlignment="1">
      <alignment vertical="top"/>
    </xf>
    <xf numFmtId="0" fontId="65" fillId="4" borderId="0" xfId="0" applyFont="1" applyFill="1" applyAlignment="1">
      <alignment vertical="top"/>
    </xf>
    <xf numFmtId="0" fontId="72" fillId="4" borderId="14" xfId="0" applyFont="1" applyFill="1" applyBorder="1" applyAlignment="1">
      <alignment horizontal="center"/>
    </xf>
    <xf numFmtId="0" fontId="72" fillId="4" borderId="13" xfId="0" applyFont="1" applyFill="1" applyBorder="1" applyAlignment="1">
      <alignment horizontal="center"/>
    </xf>
    <xf numFmtId="0" fontId="72" fillId="4" borderId="0" xfId="0" applyFont="1" applyFill="1" applyBorder="1" applyAlignment="1">
      <alignment horizontal="center"/>
    </xf>
    <xf numFmtId="4" fontId="72" fillId="4" borderId="0" xfId="0" applyNumberFormat="1" applyFont="1" applyFill="1" applyBorder="1" applyAlignment="1">
      <alignment horizontal="center"/>
    </xf>
    <xf numFmtId="0" fontId="72" fillId="4" borderId="3" xfId="0" applyFont="1" applyFill="1" applyBorder="1" applyAlignment="1">
      <alignment horizontal="center"/>
    </xf>
    <xf numFmtId="165" fontId="72" fillId="4" borderId="0" xfId="0" applyNumberFormat="1" applyFont="1" applyFill="1" applyBorder="1" applyAlignment="1">
      <alignment horizontal="center"/>
    </xf>
    <xf numFmtId="0" fontId="72" fillId="4" borderId="0" xfId="0" applyFont="1" applyFill="1" applyAlignment="1">
      <alignment horizontal="center"/>
    </xf>
    <xf numFmtId="0" fontId="63" fillId="4" borderId="14" xfId="0" applyFont="1" applyFill="1" applyBorder="1"/>
    <xf numFmtId="0" fontId="63" fillId="4" borderId="13" xfId="0" applyFont="1" applyFill="1" applyBorder="1"/>
    <xf numFmtId="0" fontId="63" fillId="4" borderId="0" xfId="0" applyFont="1" applyFill="1" applyBorder="1"/>
    <xf numFmtId="0" fontId="63" fillId="4" borderId="14" xfId="0" applyFont="1" applyFill="1" applyBorder="1" applyAlignment="1"/>
    <xf numFmtId="0" fontId="72" fillId="4" borderId="0" xfId="0" applyFont="1" applyFill="1" applyBorder="1"/>
    <xf numFmtId="0" fontId="63" fillId="4" borderId="25" xfId="0" applyFont="1" applyFill="1" applyBorder="1" applyAlignment="1"/>
    <xf numFmtId="0" fontId="75" fillId="4" borderId="13" xfId="0" applyFont="1" applyFill="1" applyBorder="1" applyAlignment="1">
      <alignment vertical="center"/>
    </xf>
    <xf numFmtId="0" fontId="75" fillId="4" borderId="32" xfId="0" applyFont="1" applyFill="1" applyBorder="1" applyAlignment="1">
      <alignment vertical="center"/>
    </xf>
    <xf numFmtId="0" fontId="75" fillId="4" borderId="14" xfId="0" applyFont="1" applyFill="1" applyBorder="1" applyAlignment="1">
      <alignment vertical="center"/>
    </xf>
    <xf numFmtId="0" fontId="76" fillId="4" borderId="0" xfId="0" applyFont="1" applyFill="1" applyBorder="1" applyAlignment="1">
      <alignment vertical="center"/>
    </xf>
    <xf numFmtId="0" fontId="75" fillId="4" borderId="0" xfId="0" applyFont="1" applyFill="1" applyBorder="1" applyAlignment="1">
      <alignment vertical="center"/>
    </xf>
    <xf numFmtId="0" fontId="59" fillId="4" borderId="11" xfId="0" applyFont="1" applyFill="1" applyBorder="1" applyAlignment="1">
      <alignment vertical="center"/>
    </xf>
    <xf numFmtId="0" fontId="74" fillId="4" borderId="5" xfId="0" applyFont="1" applyFill="1" applyBorder="1" applyAlignment="1">
      <alignment vertical="center"/>
    </xf>
    <xf numFmtId="4" fontId="75" fillId="4" borderId="5" xfId="0" applyNumberFormat="1" applyFont="1" applyFill="1" applyBorder="1" applyAlignment="1">
      <alignment vertical="center"/>
    </xf>
    <xf numFmtId="0" fontId="75" fillId="4" borderId="5" xfId="0" applyFont="1" applyFill="1" applyBorder="1" applyAlignment="1">
      <alignment vertical="center"/>
    </xf>
    <xf numFmtId="0" fontId="75" fillId="4" borderId="12" xfId="0" applyFont="1" applyFill="1" applyBorder="1" applyAlignment="1">
      <alignment vertical="center"/>
    </xf>
    <xf numFmtId="0" fontId="70" fillId="4" borderId="13" xfId="0" applyFont="1" applyFill="1" applyBorder="1"/>
    <xf numFmtId="0" fontId="70" fillId="4" borderId="14" xfId="0" applyFont="1" applyFill="1" applyBorder="1" applyAlignment="1"/>
    <xf numFmtId="0" fontId="59" fillId="4" borderId="13" xfId="0" applyFont="1" applyFill="1" applyBorder="1" applyAlignment="1">
      <alignment vertical="center"/>
    </xf>
    <xf numFmtId="4" fontId="75" fillId="4" borderId="0" xfId="0" applyNumberFormat="1" applyFont="1" applyFill="1" applyBorder="1" applyAlignment="1">
      <alignment vertical="center"/>
    </xf>
    <xf numFmtId="0" fontId="70" fillId="4" borderId="0" xfId="0" applyFont="1" applyFill="1"/>
    <xf numFmtId="0" fontId="73" fillId="4" borderId="14" xfId="0" applyFont="1" applyFill="1" applyBorder="1"/>
    <xf numFmtId="0" fontId="73" fillId="4" borderId="13" xfId="0" applyFont="1" applyFill="1" applyBorder="1"/>
    <xf numFmtId="0" fontId="73" fillId="4" borderId="0" xfId="0" applyFont="1" applyFill="1" applyBorder="1"/>
    <xf numFmtId="164" fontId="77" fillId="4" borderId="0" xfId="0" applyNumberFormat="1" applyFont="1" applyFill="1" applyBorder="1" applyAlignment="1">
      <alignment horizontal="right"/>
    </xf>
    <xf numFmtId="0" fontId="73" fillId="4" borderId="14" xfId="0" applyFont="1" applyFill="1" applyBorder="1" applyAlignment="1"/>
    <xf numFmtId="0" fontId="73" fillId="4" borderId="0" xfId="0" applyFont="1" applyFill="1"/>
    <xf numFmtId="0" fontId="73" fillId="4" borderId="6" xfId="0" applyFont="1" applyFill="1" applyBorder="1"/>
    <xf numFmtId="0" fontId="73" fillId="4" borderId="3" xfId="0" applyFont="1" applyFill="1" applyBorder="1"/>
    <xf numFmtId="2" fontId="44" fillId="4" borderId="0" xfId="0" applyNumberFormat="1" applyFont="1" applyFill="1" applyBorder="1" applyAlignment="1" applyProtection="1">
      <alignment horizontal="center" vertical="center" wrapText="1"/>
    </xf>
    <xf numFmtId="2" fontId="44" fillId="4" borderId="6" xfId="0" applyNumberFormat="1" applyFont="1" applyFill="1" applyBorder="1" applyAlignment="1">
      <alignment horizontal="center" vertical="center" wrapText="1"/>
    </xf>
    <xf numFmtId="2" fontId="44" fillId="4" borderId="6" xfId="0" applyNumberFormat="1" applyFont="1" applyFill="1" applyBorder="1" applyAlignment="1" applyProtection="1">
      <alignment horizontal="center" vertical="center" wrapText="1"/>
    </xf>
    <xf numFmtId="2" fontId="37" fillId="4" borderId="6" xfId="0" applyNumberFormat="1" applyFont="1" applyFill="1" applyBorder="1" applyAlignment="1" applyProtection="1">
      <alignment horizontal="center" vertical="center" wrapText="1"/>
    </xf>
    <xf numFmtId="0" fontId="73" fillId="4" borderId="0" xfId="0" applyFont="1" applyFill="1" applyBorder="1" applyAlignment="1"/>
    <xf numFmtId="167" fontId="37" fillId="4" borderId="6" xfId="0" applyNumberFormat="1" applyFont="1" applyFill="1" applyBorder="1" applyAlignment="1">
      <alignment horizontal="center" vertical="center"/>
    </xf>
    <xf numFmtId="166" fontId="37" fillId="4" borderId="6" xfId="0" applyNumberFormat="1" applyFont="1" applyFill="1" applyBorder="1" applyAlignment="1" applyProtection="1">
      <alignment horizontal="center" vertical="center"/>
    </xf>
    <xf numFmtId="2" fontId="37" fillId="4" borderId="6" xfId="0" applyNumberFormat="1" applyFont="1" applyFill="1" applyBorder="1" applyAlignment="1" applyProtection="1">
      <alignment horizontal="center" vertical="center"/>
    </xf>
    <xf numFmtId="4" fontId="63" fillId="4" borderId="0" xfId="0" applyNumberFormat="1" applyFont="1" applyFill="1" applyBorder="1"/>
    <xf numFmtId="0" fontId="37" fillId="4" borderId="0" xfId="0" applyFont="1" applyFill="1" applyBorder="1" applyAlignment="1">
      <alignment vertical="center"/>
    </xf>
    <xf numFmtId="0" fontId="73" fillId="4" borderId="18" xfId="0" applyFont="1" applyFill="1" applyBorder="1"/>
    <xf numFmtId="0" fontId="73" fillId="4" borderId="16" xfId="0" applyFont="1" applyFill="1" applyBorder="1"/>
    <xf numFmtId="0" fontId="73" fillId="4" borderId="25" xfId="0" applyFont="1" applyFill="1" applyBorder="1" applyAlignment="1"/>
    <xf numFmtId="0" fontId="75" fillId="4" borderId="16" xfId="0" applyFont="1" applyFill="1" applyBorder="1" applyAlignment="1">
      <alignment vertical="center"/>
    </xf>
    <xf numFmtId="0" fontId="75" fillId="4" borderId="17" xfId="0" applyFont="1" applyFill="1" applyBorder="1" applyAlignment="1">
      <alignment vertical="center"/>
    </xf>
    <xf numFmtId="0" fontId="37" fillId="4" borderId="18" xfId="0" applyFont="1" applyFill="1" applyBorder="1" applyAlignment="1">
      <alignment horizontal="left" vertical="center"/>
    </xf>
    <xf numFmtId="0" fontId="66" fillId="4" borderId="11" xfId="0" applyFont="1" applyFill="1" applyBorder="1"/>
    <xf numFmtId="0" fontId="67" fillId="4" borderId="13" xfId="0" applyFont="1" applyFill="1" applyBorder="1" applyAlignment="1" applyProtection="1">
      <alignment horizontal="left"/>
    </xf>
    <xf numFmtId="0" fontId="68" fillId="4" borderId="0" xfId="0" applyFont="1" applyFill="1" applyBorder="1" applyProtection="1"/>
    <xf numFmtId="164" fontId="68" fillId="4" borderId="0" xfId="0" applyNumberFormat="1" applyFont="1" applyFill="1" applyBorder="1" applyProtection="1"/>
    <xf numFmtId="0" fontId="63" fillId="4" borderId="5" xfId="0" applyFont="1" applyFill="1" applyBorder="1"/>
    <xf numFmtId="0" fontId="63" fillId="4" borderId="12" xfId="0" applyFont="1" applyFill="1" applyBorder="1"/>
    <xf numFmtId="0" fontId="37" fillId="4" borderId="11" xfId="0" applyFont="1" applyFill="1" applyBorder="1"/>
    <xf numFmtId="0" fontId="37" fillId="4" borderId="0" xfId="0" applyFont="1" applyFill="1" applyBorder="1" applyAlignment="1">
      <alignment horizontal="center"/>
    </xf>
    <xf numFmtId="0" fontId="34" fillId="4" borderId="13" xfId="0" applyFont="1" applyFill="1" applyBorder="1"/>
    <xf numFmtId="0" fontId="47" fillId="4" borderId="0" xfId="0" applyFont="1" applyFill="1" applyBorder="1" applyAlignment="1">
      <alignment horizontal="center" vertical="center"/>
    </xf>
    <xf numFmtId="0" fontId="44" fillId="4" borderId="15" xfId="0" applyFont="1" applyFill="1" applyBorder="1" applyAlignment="1">
      <alignment horizontal="center" vertical="center"/>
    </xf>
    <xf numFmtId="0" fontId="44" fillId="4" borderId="0" xfId="0" applyFont="1" applyFill="1" applyAlignment="1">
      <alignment horizontal="center"/>
    </xf>
    <xf numFmtId="0" fontId="44" fillId="4" borderId="0"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37" xfId="0" applyFont="1" applyFill="1" applyBorder="1" applyAlignment="1">
      <alignment horizontal="center" vertical="center"/>
    </xf>
    <xf numFmtId="0" fontId="37" fillId="4" borderId="3" xfId="0" applyFont="1" applyFill="1" applyBorder="1" applyAlignment="1">
      <alignment horizontal="center" vertical="center"/>
    </xf>
    <xf numFmtId="0" fontId="44" fillId="4" borderId="6" xfId="0" applyFont="1" applyFill="1" applyBorder="1" applyAlignment="1">
      <alignment wrapText="1"/>
    </xf>
    <xf numFmtId="0" fontId="37" fillId="4" borderId="6" xfId="0" applyFont="1" applyFill="1" applyBorder="1" applyAlignment="1">
      <alignment horizontal="center" vertical="center"/>
    </xf>
    <xf numFmtId="2" fontId="37" fillId="4" borderId="0" xfId="0" applyNumberFormat="1" applyFont="1" applyFill="1" applyBorder="1" applyAlignment="1" applyProtection="1">
      <alignment horizontal="left" vertical="center" wrapText="1"/>
    </xf>
    <xf numFmtId="0" fontId="37" fillId="4" borderId="0" xfId="0" applyFont="1" applyFill="1" applyBorder="1" applyAlignment="1">
      <alignment horizontal="right" vertical="center"/>
    </xf>
    <xf numFmtId="2" fontId="37" fillId="4" borderId="14" xfId="0" applyNumberFormat="1" applyFont="1" applyFill="1" applyBorder="1" applyAlignment="1" applyProtection="1">
      <alignment horizontal="left" vertical="center" wrapText="1"/>
    </xf>
    <xf numFmtId="2" fontId="37" fillId="4" borderId="14" xfId="0" applyNumberFormat="1" applyFont="1" applyFill="1" applyBorder="1" applyAlignment="1" applyProtection="1">
      <alignment horizontal="left" vertical="center"/>
    </xf>
    <xf numFmtId="0" fontId="37" fillId="4" borderId="14" xfId="0" applyFont="1" applyFill="1" applyBorder="1" applyAlignment="1">
      <alignment horizontal="left" vertical="center"/>
    </xf>
    <xf numFmtId="0" fontId="58" fillId="4" borderId="0" xfId="0" applyFont="1" applyFill="1" applyBorder="1" applyAlignment="1">
      <alignment horizontal="left"/>
    </xf>
    <xf numFmtId="0" fontId="37" fillId="4" borderId="18" xfId="0" applyFont="1" applyFill="1" applyBorder="1" applyAlignment="1">
      <alignment horizontal="center"/>
    </xf>
    <xf numFmtId="0" fontId="63" fillId="4" borderId="11" xfId="0" applyFont="1" applyFill="1" applyBorder="1"/>
    <xf numFmtId="0" fontId="44" fillId="4" borderId="14" xfId="0" applyFont="1" applyFill="1" applyBorder="1" applyAlignment="1">
      <alignment horizontal="center"/>
    </xf>
    <xf numFmtId="0" fontId="44" fillId="4" borderId="34" xfId="0" applyFont="1" applyFill="1" applyBorder="1" applyAlignment="1">
      <alignment vertical="center"/>
    </xf>
    <xf numFmtId="4" fontId="37" fillId="7" borderId="9" xfId="0" applyNumberFormat="1" applyFont="1" applyFill="1" applyBorder="1" applyAlignment="1">
      <alignment horizontal="centerContinuous"/>
    </xf>
    <xf numFmtId="0" fontId="37" fillId="7" borderId="34" xfId="0" applyFont="1" applyFill="1" applyBorder="1" applyAlignment="1">
      <alignment horizontal="centerContinuous"/>
    </xf>
    <xf numFmtId="0" fontId="37" fillId="7" borderId="10" xfId="0" applyFont="1" applyFill="1" applyBorder="1" applyAlignment="1">
      <alignment horizontal="centerContinuous"/>
    </xf>
    <xf numFmtId="0" fontId="37" fillId="7" borderId="9" xfId="0" applyFont="1" applyFill="1" applyBorder="1" applyAlignment="1">
      <alignment horizontal="centerContinuous"/>
    </xf>
    <xf numFmtId="4" fontId="37" fillId="7" borderId="10" xfId="0" applyNumberFormat="1" applyFont="1" applyFill="1" applyBorder="1" applyAlignment="1">
      <alignment horizontal="centerContinuous"/>
    </xf>
    <xf numFmtId="165" fontId="37" fillId="7" borderId="6" xfId="0" applyNumberFormat="1" applyFont="1" applyFill="1" applyBorder="1" applyAlignment="1">
      <alignment horizontal="center"/>
    </xf>
    <xf numFmtId="4" fontId="37" fillId="7" borderId="31" xfId="0" applyNumberFormat="1" applyFont="1" applyFill="1" applyBorder="1"/>
    <xf numFmtId="4" fontId="37" fillId="7" borderId="6" xfId="0" applyNumberFormat="1" applyFont="1" applyFill="1" applyBorder="1" applyAlignment="1">
      <alignment horizontal="center"/>
    </xf>
    <xf numFmtId="4" fontId="37" fillId="7" borderId="31" xfId="0" applyNumberFormat="1" applyFont="1" applyFill="1" applyBorder="1" applyAlignment="1">
      <alignment horizontal="center"/>
    </xf>
    <xf numFmtId="0" fontId="37" fillId="7" borderId="6" xfId="0" applyFont="1" applyFill="1" applyBorder="1" applyAlignment="1">
      <alignment horizontal="center"/>
    </xf>
    <xf numFmtId="0" fontId="37" fillId="7" borderId="7" xfId="0" applyFont="1" applyFill="1" applyBorder="1" applyAlignment="1">
      <alignment horizontal="center"/>
    </xf>
    <xf numFmtId="4" fontId="37" fillId="7" borderId="7" xfId="0" applyNumberFormat="1" applyFont="1" applyFill="1" applyBorder="1" applyAlignment="1">
      <alignment horizontal="center"/>
    </xf>
    <xf numFmtId="165" fontId="37" fillId="7" borderId="7" xfId="0" applyNumberFormat="1" applyFont="1" applyFill="1" applyBorder="1" applyAlignment="1">
      <alignment horizontal="center"/>
    </xf>
    <xf numFmtId="0" fontId="37" fillId="7" borderId="39" xfId="0" applyFont="1" applyFill="1" applyBorder="1"/>
    <xf numFmtId="164" fontId="77" fillId="6" borderId="6" xfId="0" applyNumberFormat="1" applyFont="1" applyFill="1" applyBorder="1" applyAlignment="1">
      <alignment horizontal="right"/>
    </xf>
    <xf numFmtId="164" fontId="37" fillId="6" borderId="6" xfId="0" applyNumberFormat="1" applyFont="1" applyFill="1" applyBorder="1" applyAlignment="1">
      <alignment horizontal="right"/>
    </xf>
    <xf numFmtId="164" fontId="77" fillId="6" borderId="6" xfId="0" applyNumberFormat="1" applyFont="1" applyFill="1" applyBorder="1"/>
    <xf numFmtId="0" fontId="77" fillId="4" borderId="0" xfId="0" applyFont="1" applyFill="1" applyBorder="1"/>
    <xf numFmtId="0" fontId="37" fillId="4" borderId="34" xfId="0" applyFont="1" applyFill="1" applyBorder="1" applyAlignment="1">
      <alignment vertical="center"/>
    </xf>
    <xf numFmtId="4" fontId="37" fillId="4" borderId="34" xfId="0" applyNumberFormat="1" applyFont="1" applyFill="1" applyBorder="1" applyAlignment="1">
      <alignment vertical="center"/>
    </xf>
    <xf numFmtId="167" fontId="37" fillId="4" borderId="34" xfId="0" applyNumberFormat="1" applyFont="1" applyFill="1" applyBorder="1" applyAlignment="1">
      <alignment vertical="center"/>
    </xf>
    <xf numFmtId="4" fontId="44" fillId="4" borderId="34" xfId="0" applyNumberFormat="1" applyFont="1" applyFill="1" applyBorder="1" applyAlignment="1">
      <alignment vertical="center"/>
    </xf>
    <xf numFmtId="1" fontId="37" fillId="4" borderId="34" xfId="0" applyNumberFormat="1" applyFont="1" applyFill="1" applyBorder="1" applyAlignment="1">
      <alignment vertical="center"/>
    </xf>
    <xf numFmtId="0" fontId="77" fillId="4" borderId="0" xfId="0" applyFont="1" applyFill="1" applyBorder="1" applyAlignment="1">
      <alignment horizontal="right"/>
    </xf>
    <xf numFmtId="0" fontId="81" fillId="4" borderId="20" xfId="0" applyFont="1" applyFill="1" applyBorder="1" applyProtection="1">
      <protection locked="0"/>
    </xf>
    <xf numFmtId="4" fontId="81" fillId="4" borderId="20" xfId="0" applyNumberFormat="1" applyFont="1" applyFill="1" applyBorder="1" applyProtection="1">
      <protection locked="0"/>
    </xf>
    <xf numFmtId="0" fontId="81" fillId="4" borderId="20" xfId="0" applyFont="1" applyFill="1" applyBorder="1"/>
    <xf numFmtId="4" fontId="77" fillId="4" borderId="20" xfId="0" applyNumberFormat="1" applyFont="1" applyFill="1" applyBorder="1"/>
    <xf numFmtId="4" fontId="77" fillId="4" borderId="20" xfId="0" applyNumberFormat="1" applyFont="1" applyFill="1" applyBorder="1" applyAlignment="1"/>
    <xf numFmtId="0" fontId="77" fillId="5" borderId="6" xfId="0" applyFont="1" applyFill="1" applyBorder="1" applyAlignment="1" applyProtection="1">
      <alignment wrapText="1"/>
      <protection locked="0"/>
    </xf>
    <xf numFmtId="0" fontId="77" fillId="5" borderId="6" xfId="0" applyFont="1" applyFill="1" applyBorder="1" applyProtection="1">
      <protection locked="0"/>
    </xf>
    <xf numFmtId="4" fontId="77" fillId="5" borderId="6" xfId="0" applyNumberFormat="1" applyFont="1" applyFill="1" applyBorder="1" applyProtection="1">
      <protection locked="0"/>
    </xf>
    <xf numFmtId="0" fontId="77" fillId="5" borderId="6" xfId="0" applyFont="1" applyFill="1" applyBorder="1"/>
    <xf numFmtId="4" fontId="77" fillId="6" borderId="6" xfId="0" applyNumberFormat="1" applyFont="1" applyFill="1" applyBorder="1"/>
    <xf numFmtId="4" fontId="77" fillId="6" borderId="6" xfId="0" applyNumberFormat="1" applyFont="1" applyFill="1" applyBorder="1" applyAlignment="1"/>
    <xf numFmtId="0" fontId="84" fillId="4" borderId="0" xfId="0" applyFont="1" applyFill="1" applyBorder="1"/>
    <xf numFmtId="4" fontId="77" fillId="4" borderId="0" xfId="0" applyNumberFormat="1" applyFont="1" applyFill="1" applyBorder="1"/>
    <xf numFmtId="167" fontId="77" fillId="4" borderId="0" xfId="0" applyNumberFormat="1" applyFont="1" applyFill="1" applyBorder="1"/>
    <xf numFmtId="4" fontId="77" fillId="4" borderId="0" xfId="0" applyNumberFormat="1" applyFont="1" applyFill="1" applyBorder="1" applyAlignment="1"/>
    <xf numFmtId="0" fontId="58" fillId="4" borderId="18" xfId="0" applyFont="1" applyFill="1" applyBorder="1" applyAlignment="1">
      <alignment vertical="center"/>
    </xf>
    <xf numFmtId="165" fontId="59" fillId="4" borderId="18" xfId="0" applyNumberFormat="1" applyFont="1" applyFill="1" applyBorder="1" applyAlignment="1">
      <alignment vertical="center"/>
    </xf>
    <xf numFmtId="0" fontId="85" fillId="4" borderId="5" xfId="0" applyFont="1" applyFill="1" applyBorder="1" applyProtection="1"/>
    <xf numFmtId="164" fontId="85" fillId="4" borderId="5" xfId="0" applyNumberFormat="1" applyFont="1" applyFill="1" applyBorder="1" applyProtection="1"/>
    <xf numFmtId="0" fontId="81" fillId="4" borderId="0" xfId="0" applyFont="1" applyFill="1" applyBorder="1" applyAlignment="1" applyProtection="1">
      <alignment horizontal="left"/>
    </xf>
    <xf numFmtId="0" fontId="86" fillId="4" borderId="0" xfId="0" applyFont="1" applyFill="1" applyBorder="1" applyAlignment="1" applyProtection="1">
      <alignment horizontal="left"/>
    </xf>
    <xf numFmtId="4" fontId="37" fillId="4" borderId="0" xfId="0" applyNumberFormat="1" applyFont="1" applyFill="1"/>
    <xf numFmtId="165" fontId="37" fillId="4" borderId="18" xfId="0" applyNumberFormat="1" applyFont="1" applyFill="1" applyBorder="1"/>
    <xf numFmtId="4" fontId="37" fillId="4" borderId="5" xfId="0" applyNumberFormat="1" applyFont="1" applyFill="1" applyBorder="1"/>
    <xf numFmtId="4" fontId="37" fillId="4" borderId="0" xfId="0" applyNumberFormat="1" applyFont="1" applyFill="1" applyBorder="1"/>
    <xf numFmtId="0" fontId="44" fillId="4" borderId="0" xfId="0" applyFont="1" applyFill="1" applyBorder="1" applyAlignment="1">
      <alignment horizontal="right"/>
    </xf>
    <xf numFmtId="0" fontId="44" fillId="4" borderId="18" xfId="0" applyFont="1" applyFill="1" applyBorder="1"/>
    <xf numFmtId="4" fontId="37" fillId="4" borderId="18" xfId="0" applyNumberFormat="1" applyFont="1" applyFill="1" applyBorder="1"/>
    <xf numFmtId="0" fontId="57" fillId="4" borderId="18" xfId="0" applyFont="1" applyFill="1" applyBorder="1" applyAlignment="1">
      <alignment horizontal="right"/>
    </xf>
    <xf numFmtId="165" fontId="37" fillId="4" borderId="16" xfId="0" applyNumberFormat="1" applyFont="1" applyFill="1" applyBorder="1"/>
    <xf numFmtId="0" fontId="77" fillId="5" borderId="7" xfId="0" applyFont="1" applyFill="1" applyBorder="1" applyAlignment="1" applyProtection="1">
      <alignment wrapText="1"/>
      <protection locked="0"/>
    </xf>
    <xf numFmtId="0" fontId="77" fillId="5" borderId="7" xfId="0" applyFont="1" applyFill="1" applyBorder="1" applyProtection="1">
      <protection locked="0"/>
    </xf>
    <xf numFmtId="4" fontId="77" fillId="5" borderId="7" xfId="0" applyNumberFormat="1" applyFont="1" applyFill="1" applyBorder="1" applyProtection="1">
      <protection locked="0"/>
    </xf>
    <xf numFmtId="0" fontId="77" fillId="5" borderId="7" xfId="0" applyFont="1" applyFill="1" applyBorder="1"/>
    <xf numFmtId="4" fontId="77" fillId="6" borderId="7" xfId="0" applyNumberFormat="1" applyFont="1" applyFill="1" applyBorder="1"/>
    <xf numFmtId="164" fontId="77" fillId="6" borderId="7" xfId="0" applyNumberFormat="1" applyFont="1" applyFill="1" applyBorder="1"/>
    <xf numFmtId="4" fontId="77" fillId="6" borderId="7" xfId="0" applyNumberFormat="1" applyFont="1" applyFill="1" applyBorder="1" applyAlignment="1"/>
    <xf numFmtId="0" fontId="70" fillId="4" borderId="0" xfId="0" applyFont="1" applyFill="1" applyBorder="1"/>
    <xf numFmtId="0" fontId="44" fillId="4" borderId="27" xfId="0" applyFont="1" applyFill="1" applyBorder="1" applyAlignment="1">
      <alignment vertical="center"/>
    </xf>
    <xf numFmtId="0" fontId="44" fillId="4" borderId="39" xfId="0" applyFont="1" applyFill="1" applyBorder="1" applyAlignment="1">
      <alignment vertical="center"/>
    </xf>
    <xf numFmtId="4" fontId="37" fillId="4" borderId="27" xfId="0" applyNumberFormat="1" applyFont="1" applyFill="1" applyBorder="1" applyAlignment="1">
      <alignment vertical="center"/>
    </xf>
    <xf numFmtId="0" fontId="37" fillId="4" borderId="27" xfId="0" applyFont="1" applyFill="1" applyBorder="1" applyAlignment="1">
      <alignment vertical="center"/>
    </xf>
    <xf numFmtId="167" fontId="37" fillId="4" borderId="27" xfId="0" applyNumberFormat="1" applyFont="1" applyFill="1" applyBorder="1" applyAlignment="1">
      <alignment vertical="center"/>
    </xf>
    <xf numFmtId="165" fontId="44" fillId="4" borderId="27" xfId="0" applyNumberFormat="1" applyFont="1" applyFill="1" applyBorder="1" applyAlignment="1">
      <alignment vertical="center"/>
    </xf>
    <xf numFmtId="4" fontId="44" fillId="4" borderId="27" xfId="0" applyNumberFormat="1" applyFont="1" applyFill="1" applyBorder="1" applyAlignment="1">
      <alignment vertical="center"/>
    </xf>
    <xf numFmtId="167" fontId="77" fillId="5" borderId="7" xfId="0" applyNumberFormat="1" applyFont="1" applyFill="1" applyBorder="1" applyProtection="1">
      <protection locked="0"/>
    </xf>
    <xf numFmtId="0" fontId="77" fillId="6" borderId="6" xfId="0" applyFont="1" applyFill="1" applyBorder="1"/>
    <xf numFmtId="167" fontId="77" fillId="5" borderId="6" xfId="0" applyNumberFormat="1" applyFont="1" applyFill="1" applyBorder="1" applyProtection="1">
      <protection locked="0"/>
    </xf>
    <xf numFmtId="0" fontId="44" fillId="4" borderId="8" xfId="0" applyFont="1" applyFill="1" applyBorder="1" applyAlignment="1">
      <alignment vertical="center" wrapText="1"/>
    </xf>
    <xf numFmtId="0" fontId="37" fillId="5" borderId="6" xfId="0" applyFont="1" applyFill="1" applyBorder="1" applyAlignment="1">
      <alignment horizontal="center" vertical="center" wrapText="1"/>
    </xf>
    <xf numFmtId="2" fontId="37" fillId="5" borderId="6" xfId="0" applyNumberFormat="1" applyFont="1" applyFill="1" applyBorder="1" applyAlignment="1">
      <alignment horizontal="center" vertical="center" wrapText="1"/>
    </xf>
    <xf numFmtId="2" fontId="37" fillId="5" borderId="6" xfId="0" applyNumberFormat="1" applyFont="1" applyFill="1" applyBorder="1" applyAlignment="1">
      <alignment horizontal="center" vertical="center"/>
    </xf>
    <xf numFmtId="173" fontId="37" fillId="5" borderId="6" xfId="0" applyNumberFormat="1" applyFont="1" applyFill="1" applyBorder="1" applyAlignment="1">
      <alignment horizontal="center" vertical="center"/>
    </xf>
    <xf numFmtId="173" fontId="37" fillId="5" borderId="6" xfId="0" applyNumberFormat="1" applyFont="1" applyFill="1" applyBorder="1" applyAlignment="1">
      <alignment horizontal="center" vertical="center" wrapText="1"/>
    </xf>
    <xf numFmtId="4" fontId="44" fillId="7" borderId="8" xfId="0" applyNumberFormat="1" applyFont="1" applyFill="1" applyBorder="1" applyAlignment="1">
      <alignment horizontal="center" vertical="center" wrapText="1"/>
    </xf>
    <xf numFmtId="0" fontId="44" fillId="7" borderId="6" xfId="0" applyFont="1" applyFill="1" applyBorder="1" applyAlignment="1">
      <alignment wrapText="1"/>
    </xf>
    <xf numFmtId="4" fontId="81" fillId="6" borderId="6" xfId="0" applyNumberFormat="1" applyFont="1" applyFill="1" applyBorder="1" applyAlignment="1">
      <alignment horizontal="center" vertical="center"/>
    </xf>
    <xf numFmtId="4" fontId="81" fillId="6" borderId="10" xfId="0" applyNumberFormat="1" applyFont="1" applyFill="1" applyBorder="1" applyAlignment="1">
      <alignment horizontal="center" vertical="center"/>
    </xf>
    <xf numFmtId="4" fontId="44" fillId="6" borderId="42" xfId="0" applyNumberFormat="1" applyFont="1" applyFill="1" applyBorder="1" applyAlignment="1">
      <alignment horizontal="center" vertical="center"/>
    </xf>
    <xf numFmtId="2" fontId="37" fillId="4" borderId="0" xfId="0" applyNumberFormat="1" applyFont="1" applyFill="1" applyBorder="1" applyAlignment="1">
      <alignment horizontal="center" vertical="center" wrapText="1"/>
    </xf>
    <xf numFmtId="0" fontId="70" fillId="4" borderId="11" xfId="0" applyFont="1" applyFill="1" applyBorder="1" applyAlignment="1"/>
    <xf numFmtId="0" fontId="65" fillId="4" borderId="5" xfId="0" applyFont="1" applyFill="1" applyBorder="1" applyAlignment="1">
      <alignment vertical="top"/>
    </xf>
    <xf numFmtId="0" fontId="65" fillId="4" borderId="12" xfId="0" applyFont="1" applyFill="1" applyBorder="1" applyAlignment="1">
      <alignment vertical="top"/>
    </xf>
    <xf numFmtId="3" fontId="73" fillId="5" borderId="13" xfId="0" applyNumberFormat="1" applyFont="1" applyFill="1" applyBorder="1" applyAlignment="1" applyProtection="1">
      <protection locked="0"/>
    </xf>
    <xf numFmtId="0" fontId="73" fillId="5" borderId="13" xfId="0" applyFont="1" applyFill="1" applyBorder="1" applyAlignment="1" applyProtection="1">
      <protection locked="0"/>
    </xf>
    <xf numFmtId="0" fontId="73" fillId="4" borderId="13" xfId="0" applyFont="1" applyFill="1" applyBorder="1" applyAlignment="1"/>
    <xf numFmtId="3" fontId="73" fillId="6" borderId="17" xfId="0" applyNumberFormat="1" applyFont="1" applyFill="1" applyBorder="1" applyAlignment="1" applyProtection="1"/>
    <xf numFmtId="0" fontId="63" fillId="4" borderId="16" xfId="0" applyFont="1" applyFill="1" applyBorder="1"/>
    <xf numFmtId="0" fontId="73" fillId="4" borderId="17" xfId="0" applyFont="1" applyFill="1" applyBorder="1"/>
    <xf numFmtId="2" fontId="37" fillId="7" borderId="6" xfId="0" applyNumberFormat="1" applyFont="1" applyFill="1" applyBorder="1" applyAlignment="1">
      <alignment horizontal="left" vertical="center"/>
    </xf>
    <xf numFmtId="167" fontId="37" fillId="7" borderId="6" xfId="0" applyNumberFormat="1" applyFont="1" applyFill="1" applyBorder="1" applyAlignment="1">
      <alignment horizontal="center" vertical="center"/>
    </xf>
    <xf numFmtId="166" fontId="37" fillId="7" borderId="6" xfId="0" applyNumberFormat="1" applyFont="1" applyFill="1" applyBorder="1" applyAlignment="1" applyProtection="1">
      <alignment horizontal="center" vertical="center"/>
    </xf>
    <xf numFmtId="0" fontId="37" fillId="7" borderId="6" xfId="0" applyFont="1" applyFill="1" applyBorder="1" applyAlignment="1">
      <alignment horizontal="left" vertical="center" wrapText="1"/>
    </xf>
    <xf numFmtId="2" fontId="37" fillId="7" borderId="6" xfId="0" applyNumberFormat="1" applyFont="1" applyFill="1" applyBorder="1" applyAlignment="1" applyProtection="1">
      <alignment horizontal="center" vertical="center"/>
    </xf>
    <xf numFmtId="164" fontId="37" fillId="7" borderId="9" xfId="0" applyNumberFormat="1" applyFont="1" applyFill="1" applyBorder="1" applyAlignment="1">
      <alignment horizontal="center" vertical="center"/>
    </xf>
    <xf numFmtId="167" fontId="37" fillId="7" borderId="6" xfId="0" applyNumberFormat="1" applyFont="1" applyFill="1" applyBorder="1" applyAlignment="1">
      <alignment horizontal="center" vertical="center" wrapText="1"/>
    </xf>
    <xf numFmtId="2" fontId="37" fillId="6" borderId="6" xfId="0" applyNumberFormat="1" applyFont="1" applyFill="1" applyBorder="1" applyAlignment="1">
      <alignment horizontal="center" vertical="center" wrapText="1"/>
    </xf>
    <xf numFmtId="0" fontId="37" fillId="7" borderId="8" xfId="0" applyFont="1" applyFill="1" applyBorder="1" applyAlignment="1">
      <alignment horizontal="left" vertical="center" wrapText="1"/>
    </xf>
    <xf numFmtId="2" fontId="37" fillId="6" borderId="8" xfId="0" applyNumberFormat="1" applyFont="1" applyFill="1" applyBorder="1" applyAlignment="1">
      <alignment horizontal="center" vertical="center" wrapText="1"/>
    </xf>
    <xf numFmtId="0" fontId="11" fillId="4" borderId="0" xfId="0" applyFont="1" applyFill="1"/>
    <xf numFmtId="0" fontId="0" fillId="4" borderId="0" xfId="0" applyFill="1"/>
    <xf numFmtId="0" fontId="0" fillId="4" borderId="5" xfId="0" applyFill="1" applyBorder="1"/>
    <xf numFmtId="0" fontId="0" fillId="4" borderId="0" xfId="0" applyFill="1" applyBorder="1"/>
    <xf numFmtId="0" fontId="4" fillId="4" borderId="0" xfId="0" applyFont="1" applyFill="1" applyBorder="1"/>
    <xf numFmtId="0" fontId="0" fillId="4" borderId="11" xfId="0" applyFill="1" applyBorder="1"/>
    <xf numFmtId="0" fontId="0" fillId="4" borderId="12" xfId="0" applyFill="1" applyBorder="1"/>
    <xf numFmtId="0" fontId="0" fillId="4" borderId="17" xfId="0" applyFill="1" applyBorder="1"/>
    <xf numFmtId="0" fontId="0" fillId="4" borderId="18" xfId="0" applyFill="1" applyBorder="1"/>
    <xf numFmtId="2" fontId="37" fillId="4" borderId="12" xfId="0" applyNumberFormat="1" applyFont="1" applyFill="1" applyBorder="1"/>
    <xf numFmtId="2" fontId="37" fillId="4" borderId="14" xfId="0" applyNumberFormat="1" applyFont="1" applyFill="1" applyBorder="1"/>
    <xf numFmtId="2" fontId="37" fillId="4" borderId="16" xfId="0" applyNumberFormat="1" applyFont="1" applyFill="1" applyBorder="1" applyAlignment="1">
      <alignment horizontal="left"/>
    </xf>
    <xf numFmtId="0" fontId="34" fillId="4" borderId="0" xfId="0" applyFont="1" applyFill="1" applyBorder="1" applyAlignment="1">
      <alignment horizontal="left"/>
    </xf>
    <xf numFmtId="0" fontId="37" fillId="4" borderId="28" xfId="0" applyFont="1" applyFill="1" applyBorder="1"/>
    <xf numFmtId="0" fontId="37" fillId="4" borderId="29" xfId="0" applyFont="1" applyFill="1" applyBorder="1"/>
    <xf numFmtId="0" fontId="37" fillId="4" borderId="30" xfId="0" applyFont="1" applyFill="1" applyBorder="1"/>
    <xf numFmtId="2" fontId="37" fillId="4" borderId="0" xfId="0" applyNumberFormat="1" applyFont="1" applyFill="1" applyBorder="1" applyAlignment="1">
      <alignment wrapText="1"/>
    </xf>
    <xf numFmtId="0" fontId="63" fillId="7" borderId="7" xfId="0" applyFont="1" applyFill="1" applyBorder="1" applyAlignment="1">
      <alignment horizontal="center" vertical="center" wrapText="1"/>
    </xf>
    <xf numFmtId="2" fontId="37" fillId="4" borderId="19" xfId="0" applyNumberFormat="1" applyFont="1" applyFill="1" applyBorder="1"/>
    <xf numFmtId="0" fontId="37" fillId="4" borderId="20" xfId="0" applyFont="1" applyFill="1" applyBorder="1" applyAlignment="1">
      <alignment horizontal="center" vertical="center" wrapText="1"/>
    </xf>
    <xf numFmtId="168" fontId="37" fillId="4" borderId="6" xfId="0" applyNumberFormat="1" applyFont="1" applyFill="1" applyBorder="1" applyAlignment="1">
      <alignment horizontal="center" vertical="center" wrapText="1"/>
    </xf>
    <xf numFmtId="2" fontId="37" fillId="4" borderId="6" xfId="0" applyNumberFormat="1" applyFont="1" applyFill="1" applyBorder="1" applyAlignment="1" applyProtection="1">
      <alignment horizontal="center" vertical="center" wrapText="1"/>
      <protection locked="0"/>
    </xf>
    <xf numFmtId="0" fontId="35" fillId="4" borderId="0" xfId="0" applyFont="1" applyFill="1" applyBorder="1"/>
    <xf numFmtId="0" fontId="32" fillId="4" borderId="17" xfId="0" applyFont="1" applyFill="1" applyBorder="1"/>
    <xf numFmtId="0" fontId="32" fillId="4" borderId="18" xfId="0" applyFont="1" applyFill="1" applyBorder="1"/>
    <xf numFmtId="2" fontId="32" fillId="4" borderId="18" xfId="0" applyNumberFormat="1" applyFont="1" applyFill="1" applyBorder="1"/>
    <xf numFmtId="4" fontId="44" fillId="4" borderId="0" xfId="0" applyNumberFormat="1" applyFont="1" applyFill="1" applyBorder="1" applyAlignment="1">
      <alignment horizontal="center" vertical="center" wrapText="1"/>
    </xf>
    <xf numFmtId="0" fontId="44" fillId="4" borderId="6" xfId="0" applyFont="1" applyFill="1" applyBorder="1" applyAlignment="1">
      <alignment horizontal="center"/>
    </xf>
    <xf numFmtId="165" fontId="37" fillId="4" borderId="6" xfId="0" applyNumberFormat="1" applyFont="1" applyFill="1" applyBorder="1" applyAlignment="1">
      <alignment horizontal="center" vertical="center" wrapText="1"/>
    </xf>
    <xf numFmtId="0" fontId="44" fillId="4" borderId="8" xfId="0" applyFont="1" applyFill="1" applyBorder="1" applyAlignment="1">
      <alignment wrapText="1"/>
    </xf>
    <xf numFmtId="2" fontId="35" fillId="4" borderId="0" xfId="0" applyNumberFormat="1" applyFont="1" applyFill="1" applyBorder="1" applyAlignment="1">
      <alignment horizontal="center" vertical="center" wrapText="1"/>
    </xf>
    <xf numFmtId="0" fontId="35" fillId="4" borderId="18" xfId="0" applyFont="1" applyFill="1" applyBorder="1"/>
    <xf numFmtId="2" fontId="37" fillId="4" borderId="13" xfId="0" applyNumberFormat="1" applyFont="1" applyFill="1" applyBorder="1" applyAlignment="1">
      <alignment horizontal="center" vertical="center" wrapText="1"/>
    </xf>
    <xf numFmtId="0" fontId="32" fillId="4" borderId="11" xfId="0" applyFont="1" applyFill="1" applyBorder="1"/>
    <xf numFmtId="2" fontId="32" fillId="4" borderId="5" xfId="0" applyNumberFormat="1" applyFont="1" applyFill="1" applyBorder="1"/>
    <xf numFmtId="0" fontId="37" fillId="4" borderId="31" xfId="0" applyFont="1" applyFill="1" applyBorder="1"/>
    <xf numFmtId="0" fontId="37" fillId="5" borderId="6" xfId="0" applyFont="1" applyFill="1" applyBorder="1" applyAlignment="1" applyProtection="1">
      <alignment horizontal="center" vertical="center" wrapText="1"/>
      <protection locked="0"/>
    </xf>
    <xf numFmtId="2" fontId="37" fillId="5" borderId="6" xfId="0" applyNumberFormat="1" applyFont="1" applyFill="1" applyBorder="1" applyAlignment="1" applyProtection="1">
      <alignment horizontal="center" vertical="center" wrapText="1"/>
      <protection locked="0"/>
    </xf>
    <xf numFmtId="2" fontId="37" fillId="5" borderId="6" xfId="0" applyNumberFormat="1" applyFont="1" applyFill="1" applyBorder="1" applyAlignment="1" applyProtection="1">
      <alignment horizontal="center" vertical="center"/>
      <protection locked="0"/>
    </xf>
    <xf numFmtId="4" fontId="37" fillId="5" borderId="6" xfId="0" applyNumberFormat="1" applyFont="1" applyFill="1" applyBorder="1" applyAlignment="1" applyProtection="1">
      <alignment horizontal="center" vertical="center"/>
      <protection locked="0"/>
    </xf>
    <xf numFmtId="168" fontId="37" fillId="6" borderId="6" xfId="0" applyNumberFormat="1" applyFont="1" applyFill="1" applyBorder="1" applyAlignment="1">
      <alignment horizontal="center" vertical="center" wrapText="1"/>
    </xf>
    <xf numFmtId="4" fontId="44" fillId="6" borderId="21" xfId="0" applyNumberFormat="1" applyFont="1" applyFill="1" applyBorder="1" applyAlignment="1">
      <alignment horizontal="center" vertical="center"/>
    </xf>
    <xf numFmtId="4" fontId="37" fillId="6" borderId="6" xfId="0" applyNumberFormat="1" applyFont="1" applyFill="1" applyBorder="1" applyAlignment="1" applyProtection="1">
      <alignment horizontal="center" vertical="center"/>
      <protection locked="0"/>
    </xf>
    <xf numFmtId="165" fontId="37" fillId="6" borderId="6" xfId="0" applyNumberFormat="1" applyFont="1" applyFill="1" applyBorder="1" applyAlignment="1">
      <alignment horizontal="center" vertical="center" wrapText="1"/>
    </xf>
    <xf numFmtId="165" fontId="37" fillId="7" borderId="6" xfId="0" applyNumberFormat="1" applyFont="1" applyFill="1" applyBorder="1" applyAlignment="1">
      <alignment horizontal="center" vertical="center" wrapText="1"/>
    </xf>
    <xf numFmtId="0" fontId="32" fillId="4" borderId="0" xfId="0" applyFont="1" applyFill="1" applyBorder="1" applyAlignment="1"/>
    <xf numFmtId="0" fontId="35" fillId="4" borderId="0" xfId="0" applyFont="1" applyFill="1" applyBorder="1" applyAlignment="1"/>
    <xf numFmtId="0" fontId="72" fillId="4" borderId="7" xfId="0" applyFont="1" applyFill="1" applyBorder="1" applyAlignment="1">
      <alignment horizontal="center" vertical="center" wrapText="1"/>
    </xf>
    <xf numFmtId="0" fontId="37" fillId="5" borderId="6" xfId="0" applyFont="1" applyFill="1" applyBorder="1" applyAlignment="1" applyProtection="1">
      <alignment horizontal="center" vertical="center"/>
      <protection locked="0"/>
    </xf>
    <xf numFmtId="0" fontId="35" fillId="5" borderId="6" xfId="0" applyFont="1" applyFill="1" applyBorder="1" applyAlignment="1" applyProtection="1">
      <protection locked="0"/>
    </xf>
    <xf numFmtId="0" fontId="37" fillId="4" borderId="0" xfId="0" applyNumberFormat="1" applyFont="1" applyFill="1"/>
    <xf numFmtId="0" fontId="37" fillId="4" borderId="13" xfId="0" applyNumberFormat="1" applyFont="1" applyFill="1" applyBorder="1"/>
    <xf numFmtId="0" fontId="37" fillId="4" borderId="0" xfId="0" applyNumberFormat="1" applyFont="1" applyFill="1" applyBorder="1"/>
    <xf numFmtId="0" fontId="44" fillId="4" borderId="6" xfId="0" applyNumberFormat="1" applyFont="1" applyFill="1" applyBorder="1" applyAlignment="1">
      <alignment horizontal="center" vertical="center"/>
    </xf>
    <xf numFmtId="4" fontId="37" fillId="4" borderId="6" xfId="0" applyNumberFormat="1" applyFont="1" applyFill="1" applyBorder="1" applyAlignment="1" applyProtection="1">
      <alignment horizontal="center" vertical="center" wrapText="1"/>
      <protection locked="0"/>
    </xf>
    <xf numFmtId="4" fontId="37" fillId="5" borderId="6" xfId="0" applyNumberFormat="1" applyFont="1" applyFill="1" applyBorder="1" applyAlignment="1" applyProtection="1">
      <alignment horizontal="center" vertical="center" wrapText="1"/>
      <protection locked="0"/>
    </xf>
    <xf numFmtId="11" fontId="37" fillId="6" borderId="6" xfId="0" applyNumberFormat="1" applyFont="1" applyFill="1" applyBorder="1"/>
    <xf numFmtId="0" fontId="37" fillId="7" borderId="7" xfId="0" applyNumberFormat="1" applyFont="1" applyFill="1" applyBorder="1" applyAlignment="1">
      <alignment horizontal="left" wrapText="1"/>
    </xf>
    <xf numFmtId="4" fontId="37" fillId="7" borderId="6" xfId="0" applyNumberFormat="1" applyFont="1" applyFill="1" applyBorder="1" applyAlignment="1">
      <alignment horizontal="left" vertical="center" wrapText="1"/>
    </xf>
    <xf numFmtId="4" fontId="37" fillId="7" borderId="7" xfId="0" applyNumberFormat="1" applyFont="1" applyFill="1" applyBorder="1" applyAlignment="1">
      <alignment horizontal="left" vertical="center" wrapText="1"/>
    </xf>
    <xf numFmtId="0" fontId="37" fillId="7" borderId="10" xfId="0" applyFont="1" applyFill="1" applyBorder="1" applyAlignment="1">
      <alignment horizontal="left" vertical="center" wrapText="1"/>
    </xf>
    <xf numFmtId="0" fontId="37" fillId="4" borderId="8" xfId="0" applyFont="1" applyFill="1" applyBorder="1" applyAlignment="1">
      <alignment horizontal="center" vertical="center"/>
    </xf>
    <xf numFmtId="4" fontId="37" fillId="8" borderId="6" xfId="0" applyNumberFormat="1" applyFont="1" applyFill="1" applyBorder="1" applyAlignment="1">
      <alignment horizontal="center" vertical="center"/>
    </xf>
    <xf numFmtId="11" fontId="37" fillId="4" borderId="6" xfId="0" applyNumberFormat="1" applyFont="1" applyFill="1" applyBorder="1" applyAlignment="1">
      <alignment horizontal="center" vertical="center"/>
    </xf>
    <xf numFmtId="11" fontId="37" fillId="8" borderId="6" xfId="0" applyNumberFormat="1" applyFont="1" applyFill="1" applyBorder="1" applyAlignment="1">
      <alignment horizontal="center" vertical="center"/>
    </xf>
    <xf numFmtId="0" fontId="37" fillId="4" borderId="36" xfId="0" applyFont="1" applyFill="1" applyBorder="1"/>
    <xf numFmtId="0" fontId="37" fillId="4" borderId="40" xfId="0" applyFont="1" applyFill="1" applyBorder="1"/>
    <xf numFmtId="0" fontId="32" fillId="4" borderId="52" xfId="0" applyFont="1" applyFill="1" applyBorder="1"/>
    <xf numFmtId="3" fontId="37" fillId="5" borderId="8" xfId="0" applyNumberFormat="1" applyFont="1" applyFill="1" applyBorder="1" applyAlignment="1" applyProtection="1">
      <alignment horizontal="center" vertical="center"/>
      <protection locked="0"/>
    </xf>
    <xf numFmtId="2" fontId="37" fillId="5" borderId="8" xfId="0" applyNumberFormat="1" applyFont="1" applyFill="1" applyBorder="1" applyAlignment="1" applyProtection="1">
      <alignment horizontal="center" vertical="center" wrapText="1"/>
      <protection locked="0"/>
    </xf>
    <xf numFmtId="4" fontId="37" fillId="5" borderId="8" xfId="0" applyNumberFormat="1" applyFont="1" applyFill="1" applyBorder="1" applyAlignment="1" applyProtection="1">
      <alignment horizontal="center" vertical="center"/>
      <protection locked="0"/>
    </xf>
    <xf numFmtId="0" fontId="32" fillId="5" borderId="17" xfId="0" applyFont="1" applyFill="1" applyBorder="1"/>
    <xf numFmtId="4" fontId="44" fillId="4" borderId="5" xfId="0" applyNumberFormat="1" applyFont="1" applyFill="1" applyBorder="1" applyAlignment="1">
      <alignment horizontal="center" vertical="center"/>
    </xf>
    <xf numFmtId="0" fontId="37" fillId="4" borderId="5" xfId="0" applyFont="1" applyFill="1" applyBorder="1" applyAlignment="1"/>
    <xf numFmtId="0" fontId="35" fillId="4" borderId="0" xfId="0" applyFont="1" applyFill="1" applyBorder="1" applyAlignment="1">
      <alignment vertical="top"/>
    </xf>
    <xf numFmtId="0" fontId="37" fillId="4" borderId="26" xfId="0" applyFont="1" applyFill="1" applyBorder="1"/>
    <xf numFmtId="0" fontId="32" fillId="4" borderId="5" xfId="0" applyFont="1" applyFill="1" applyBorder="1"/>
    <xf numFmtId="0" fontId="44" fillId="4" borderId="5" xfId="0" applyNumberFormat="1" applyFont="1" applyFill="1" applyBorder="1" applyAlignment="1">
      <alignment horizontal="right" vertical="center"/>
    </xf>
    <xf numFmtId="0" fontId="37" fillId="4" borderId="25" xfId="0" applyFont="1" applyFill="1" applyBorder="1"/>
    <xf numFmtId="2" fontId="44" fillId="7" borderId="8" xfId="0" applyNumberFormat="1" applyFont="1" applyFill="1" applyBorder="1" applyAlignment="1">
      <alignment horizontal="center" vertical="center"/>
    </xf>
    <xf numFmtId="4" fontId="44" fillId="7" borderId="8" xfId="0" applyNumberFormat="1" applyFont="1" applyFill="1" applyBorder="1" applyAlignment="1">
      <alignment horizontal="center" vertical="center"/>
    </xf>
    <xf numFmtId="0" fontId="0" fillId="4" borderId="16" xfId="0" applyFill="1" applyBorder="1"/>
    <xf numFmtId="0" fontId="37" fillId="4" borderId="0" xfId="0" applyFont="1" applyFill="1" applyBorder="1" applyAlignment="1">
      <alignment horizontal="right"/>
    </xf>
    <xf numFmtId="0" fontId="51" fillId="4" borderId="0" xfId="0" applyFont="1" applyFill="1" applyBorder="1" applyAlignment="1">
      <alignment wrapText="1"/>
    </xf>
    <xf numFmtId="0" fontId="53" fillId="4" borderId="0" xfId="0" applyFont="1" applyFill="1" applyBorder="1"/>
    <xf numFmtId="0" fontId="37" fillId="4" borderId="3" xfId="0" applyFont="1" applyFill="1" applyBorder="1"/>
    <xf numFmtId="4" fontId="44" fillId="4" borderId="7" xfId="0" applyNumberFormat="1" applyFont="1" applyFill="1" applyBorder="1" applyAlignment="1">
      <alignment horizontal="center" vertical="center"/>
    </xf>
    <xf numFmtId="4" fontId="44" fillId="4" borderId="10" xfId="0" applyNumberFormat="1" applyFont="1" applyFill="1" applyBorder="1" applyAlignment="1">
      <alignment horizontal="center" vertical="center"/>
    </xf>
    <xf numFmtId="4" fontId="37" fillId="4" borderId="20" xfId="0" applyNumberFormat="1" applyFont="1" applyFill="1" applyBorder="1" applyAlignment="1">
      <alignment horizontal="center" vertical="center" wrapText="1"/>
    </xf>
    <xf numFmtId="4" fontId="37" fillId="4" borderId="8" xfId="0" applyNumberFormat="1" applyFont="1" applyFill="1" applyBorder="1" applyAlignment="1">
      <alignment horizontal="center" vertical="center"/>
    </xf>
    <xf numFmtId="4" fontId="37" fillId="4" borderId="8" xfId="0" applyNumberFormat="1" applyFont="1" applyFill="1" applyBorder="1" applyAlignment="1">
      <alignment horizontal="center" vertical="center" wrapText="1"/>
    </xf>
    <xf numFmtId="4" fontId="37" fillId="4" borderId="6" xfId="0" applyNumberFormat="1" applyFont="1" applyFill="1" applyBorder="1" applyAlignment="1">
      <alignment horizontal="center" vertical="center"/>
    </xf>
    <xf numFmtId="4" fontId="37" fillId="4" borderId="20" xfId="0" applyNumberFormat="1" applyFont="1" applyFill="1" applyBorder="1" applyAlignment="1">
      <alignment horizontal="center" vertical="center"/>
    </xf>
    <xf numFmtId="4" fontId="37" fillId="4" borderId="15" xfId="0" applyNumberFormat="1" applyFont="1" applyFill="1" applyBorder="1" applyAlignment="1">
      <alignment horizontal="center" vertical="center"/>
    </xf>
    <xf numFmtId="0" fontId="32" fillId="4" borderId="0" xfId="0" applyFont="1" applyFill="1" applyBorder="1" applyAlignment="1">
      <alignment horizontal="right"/>
    </xf>
    <xf numFmtId="3" fontId="37" fillId="4" borderId="20" xfId="0" applyNumberFormat="1" applyFont="1" applyFill="1" applyBorder="1" applyAlignment="1">
      <alignment horizontal="center" vertical="center" wrapText="1"/>
    </xf>
    <xf numFmtId="0" fontId="58" fillId="4" borderId="0" xfId="0" applyFont="1" applyFill="1" applyBorder="1"/>
    <xf numFmtId="4" fontId="58" fillId="4" borderId="7" xfId="0" applyNumberFormat="1" applyFont="1" applyFill="1" applyBorder="1" applyAlignment="1">
      <alignment horizontal="center" vertical="center" wrapText="1"/>
    </xf>
    <xf numFmtId="4" fontId="58" fillId="4" borderId="6" xfId="0" applyNumberFormat="1" applyFont="1" applyFill="1" applyBorder="1" applyAlignment="1">
      <alignment horizontal="center" vertical="center" wrapText="1"/>
    </xf>
    <xf numFmtId="0" fontId="58" fillId="4" borderId="14" xfId="0" applyFont="1" applyFill="1" applyBorder="1"/>
    <xf numFmtId="0" fontId="58" fillId="4" borderId="0" xfId="0" applyFont="1" applyFill="1"/>
    <xf numFmtId="4" fontId="37" fillId="4" borderId="10" xfId="0" applyNumberFormat="1" applyFont="1" applyFill="1" applyBorder="1" applyAlignment="1" applyProtection="1">
      <alignment horizontal="center" vertical="center" wrapText="1"/>
      <protection locked="0"/>
    </xf>
    <xf numFmtId="0" fontId="37" fillId="4" borderId="0" xfId="0" applyFont="1" applyFill="1" applyAlignment="1">
      <alignment horizontal="center" vertical="center"/>
    </xf>
    <xf numFmtId="4" fontId="37" fillId="7" borderId="20" xfId="0" applyNumberFormat="1" applyFont="1" applyFill="1" applyBorder="1" applyAlignment="1">
      <alignment horizontal="center" vertical="center" wrapText="1"/>
    </xf>
    <xf numFmtId="4" fontId="37" fillId="7" borderId="15" xfId="0" applyNumberFormat="1" applyFont="1" applyFill="1" applyBorder="1" applyAlignment="1">
      <alignment horizontal="center" vertical="center" wrapText="1"/>
    </xf>
    <xf numFmtId="4" fontId="37" fillId="7" borderId="10" xfId="0" applyNumberFormat="1" applyFont="1" applyFill="1" applyBorder="1" applyAlignment="1">
      <alignment horizontal="center" vertical="center" wrapText="1"/>
    </xf>
    <xf numFmtId="4" fontId="44" fillId="7" borderId="10" xfId="0" applyNumberFormat="1" applyFont="1" applyFill="1" applyBorder="1" applyAlignment="1">
      <alignment horizontal="center" vertical="center"/>
    </xf>
    <xf numFmtId="4" fontId="44" fillId="7" borderId="7" xfId="0" applyNumberFormat="1" applyFont="1" applyFill="1" applyBorder="1" applyAlignment="1">
      <alignment horizontal="center" vertical="center"/>
    </xf>
    <xf numFmtId="4" fontId="37" fillId="6" borderId="10" xfId="0" applyNumberFormat="1" applyFont="1" applyFill="1" applyBorder="1" applyAlignment="1" applyProtection="1">
      <alignment horizontal="center" vertical="center" wrapText="1"/>
      <protection locked="0"/>
    </xf>
    <xf numFmtId="4" fontId="37" fillId="5" borderId="10" xfId="0" applyNumberFormat="1" applyFont="1" applyFill="1" applyBorder="1" applyAlignment="1" applyProtection="1">
      <alignment horizontal="center" vertical="center" wrapText="1"/>
      <protection locked="0"/>
    </xf>
    <xf numFmtId="4" fontId="37" fillId="5" borderId="15" xfId="0" applyNumberFormat="1" applyFont="1" applyFill="1" applyBorder="1" applyAlignment="1" applyProtection="1">
      <alignment horizontal="center" vertical="center" wrapText="1"/>
      <protection locked="0"/>
    </xf>
    <xf numFmtId="4" fontId="37" fillId="5" borderId="20" xfId="0" applyNumberFormat="1" applyFont="1" applyFill="1" applyBorder="1" applyAlignment="1" applyProtection="1">
      <alignment horizontal="center" vertical="center" wrapText="1"/>
      <protection locked="0"/>
    </xf>
    <xf numFmtId="0" fontId="51" fillId="4" borderId="0" xfId="0" applyFont="1" applyFill="1" applyBorder="1"/>
    <xf numFmtId="0" fontId="44" fillId="4" borderId="13" xfId="0" applyFont="1" applyFill="1" applyBorder="1" applyAlignment="1">
      <alignment vertical="center"/>
    </xf>
    <xf numFmtId="2" fontId="44" fillId="4" borderId="0" xfId="0" applyNumberFormat="1" applyFont="1" applyFill="1" applyBorder="1"/>
    <xf numFmtId="4" fontId="37" fillId="4" borderId="15" xfId="0" applyNumberFormat="1" applyFont="1" applyFill="1" applyBorder="1"/>
    <xf numFmtId="4" fontId="37" fillId="4" borderId="0" xfId="0" applyNumberFormat="1" applyFont="1" applyFill="1" applyBorder="1" applyAlignment="1">
      <alignment horizontal="left" vertical="center"/>
    </xf>
    <xf numFmtId="4" fontId="37" fillId="4" borderId="6" xfId="0" applyNumberFormat="1" applyFont="1" applyFill="1" applyBorder="1" applyAlignment="1" applyProtection="1">
      <alignment wrapText="1"/>
      <protection locked="0"/>
    </xf>
    <xf numFmtId="167" fontId="37" fillId="4" borderId="6" xfId="0" applyNumberFormat="1" applyFont="1" applyFill="1" applyBorder="1" applyAlignment="1" applyProtection="1">
      <alignment horizontal="center" vertical="center" wrapText="1"/>
      <protection locked="0"/>
    </xf>
    <xf numFmtId="4" fontId="37" fillId="4" borderId="6" xfId="0" applyNumberFormat="1" applyFont="1" applyFill="1" applyBorder="1" applyAlignment="1" applyProtection="1">
      <alignment horizontal="left" vertical="center" wrapText="1"/>
      <protection locked="0"/>
    </xf>
    <xf numFmtId="2" fontId="37" fillId="4" borderId="10" xfId="0" applyNumberFormat="1" applyFont="1" applyFill="1" applyBorder="1" applyAlignment="1" applyProtection="1">
      <alignment horizontal="center" vertical="center" wrapText="1"/>
      <protection locked="0"/>
    </xf>
    <xf numFmtId="2" fontId="37" fillId="4" borderId="41" xfId="0" applyNumberFormat="1" applyFont="1" applyFill="1" applyBorder="1" applyAlignment="1" applyProtection="1">
      <alignment horizontal="center" vertical="center" wrapText="1"/>
      <protection locked="0"/>
    </xf>
    <xf numFmtId="167" fontId="37" fillId="4" borderId="41" xfId="0" applyNumberFormat="1" applyFont="1" applyFill="1" applyBorder="1" applyAlignment="1" applyProtection="1">
      <alignment horizontal="center" vertical="center" wrapText="1"/>
      <protection locked="0"/>
    </xf>
    <xf numFmtId="167" fontId="37" fillId="4" borderId="10" xfId="0" applyNumberFormat="1" applyFont="1" applyFill="1" applyBorder="1" applyAlignment="1" applyProtection="1">
      <alignment horizontal="center" vertical="center" wrapText="1"/>
      <protection locked="0"/>
    </xf>
    <xf numFmtId="0" fontId="35" fillId="4" borderId="0" xfId="0" applyFont="1" applyFill="1" applyBorder="1" applyAlignment="1">
      <alignment horizontal="center" vertical="center"/>
    </xf>
    <xf numFmtId="173" fontId="44" fillId="4" borderId="6" xfId="0" applyNumberFormat="1" applyFont="1" applyFill="1" applyBorder="1" applyAlignment="1">
      <alignment horizontal="center" vertical="center"/>
    </xf>
    <xf numFmtId="0" fontId="32" fillId="4" borderId="14" xfId="0" applyFont="1" applyFill="1" applyBorder="1"/>
    <xf numFmtId="0" fontId="47" fillId="4" borderId="0" xfId="0" applyFont="1" applyFill="1"/>
    <xf numFmtId="0" fontId="44" fillId="4" borderId="0" xfId="0" applyFont="1" applyFill="1"/>
    <xf numFmtId="4" fontId="44" fillId="4" borderId="0" xfId="0" applyNumberFormat="1" applyFont="1" applyFill="1" applyBorder="1" applyAlignment="1">
      <alignment vertical="center"/>
    </xf>
    <xf numFmtId="4" fontId="63" fillId="7" borderId="6" xfId="0" applyNumberFormat="1" applyFont="1" applyFill="1" applyBorder="1" applyAlignment="1">
      <alignment horizontal="center" vertical="center" wrapText="1"/>
    </xf>
    <xf numFmtId="4" fontId="37" fillId="7" borderId="6" xfId="0" applyNumberFormat="1" applyFont="1" applyFill="1" applyBorder="1" applyAlignment="1">
      <alignment horizontal="center" vertical="center"/>
    </xf>
    <xf numFmtId="4" fontId="37" fillId="7" borderId="8" xfId="0" applyNumberFormat="1" applyFont="1" applyFill="1" applyBorder="1" applyAlignment="1">
      <alignment horizontal="center" vertical="center"/>
    </xf>
    <xf numFmtId="0" fontId="35" fillId="4" borderId="18" xfId="0" applyFont="1" applyFill="1" applyBorder="1" applyAlignment="1">
      <alignment vertical="center" wrapText="1"/>
    </xf>
    <xf numFmtId="4" fontId="44" fillId="4" borderId="0" xfId="0" applyNumberFormat="1" applyFont="1" applyFill="1" applyBorder="1" applyAlignment="1">
      <alignment horizontal="center" vertical="center"/>
    </xf>
    <xf numFmtId="4" fontId="37" fillId="4" borderId="0" xfId="0" applyNumberFormat="1" applyFont="1" applyFill="1" applyBorder="1" applyAlignment="1">
      <alignment horizontal="center" vertical="center" wrapText="1"/>
    </xf>
    <xf numFmtId="4" fontId="37" fillId="4" borderId="0" xfId="0" applyNumberFormat="1" applyFont="1" applyFill="1" applyBorder="1" applyAlignment="1">
      <alignment horizontal="left" vertical="center" wrapText="1"/>
    </xf>
    <xf numFmtId="4" fontId="37" fillId="4" borderId="0" xfId="0" applyNumberFormat="1" applyFont="1" applyFill="1" applyBorder="1" applyAlignment="1">
      <alignment horizontal="center" vertical="center"/>
    </xf>
    <xf numFmtId="4" fontId="37" fillId="4" borderId="19" xfId="0" applyNumberFormat="1" applyFont="1" applyFill="1" applyBorder="1"/>
    <xf numFmtId="0" fontId="44" fillId="4" borderId="0" xfId="0" applyFont="1" applyFill="1" applyBorder="1" applyAlignment="1"/>
    <xf numFmtId="0" fontId="87" fillId="4" borderId="0" xfId="0" applyFont="1" applyFill="1" applyBorder="1"/>
    <xf numFmtId="0" fontId="40" fillId="4" borderId="0" xfId="0" applyFont="1" applyFill="1"/>
    <xf numFmtId="4" fontId="44" fillId="4" borderId="6" xfId="0" applyNumberFormat="1" applyFont="1" applyFill="1" applyBorder="1" applyAlignment="1">
      <alignment vertical="center"/>
    </xf>
    <xf numFmtId="4" fontId="37" fillId="5" borderId="6" xfId="0" applyNumberFormat="1" applyFont="1" applyFill="1" applyBorder="1" applyAlignment="1" applyProtection="1">
      <alignment wrapText="1"/>
      <protection locked="0"/>
    </xf>
    <xf numFmtId="173" fontId="37" fillId="5" borderId="6" xfId="0" applyNumberFormat="1" applyFont="1" applyFill="1" applyBorder="1" applyAlignment="1" applyProtection="1">
      <alignment horizontal="center" vertical="center" wrapText="1"/>
      <protection locked="0"/>
    </xf>
    <xf numFmtId="0" fontId="37" fillId="4" borderId="0" xfId="0" applyFont="1" applyFill="1" applyProtection="1"/>
    <xf numFmtId="0" fontId="51" fillId="4" borderId="0" xfId="0" applyFont="1" applyFill="1" applyAlignment="1" applyProtection="1">
      <alignment vertical="center"/>
    </xf>
    <xf numFmtId="0" fontId="50" fillId="4" borderId="0" xfId="0" applyFont="1" applyFill="1" applyAlignment="1" applyProtection="1">
      <alignment vertical="center"/>
    </xf>
    <xf numFmtId="0" fontId="37" fillId="4" borderId="0" xfId="0" applyFont="1" applyFill="1" applyAlignment="1" applyProtection="1">
      <alignment vertical="center"/>
    </xf>
    <xf numFmtId="0" fontId="37" fillId="4" borderId="0" xfId="0" applyFont="1" applyFill="1" applyAlignment="1" applyProtection="1">
      <alignment horizontal="center"/>
    </xf>
    <xf numFmtId="0" fontId="37" fillId="4" borderId="0" xfId="0" applyFont="1" applyFill="1" applyAlignment="1" applyProtection="1">
      <alignment horizontal="center" vertical="center"/>
    </xf>
    <xf numFmtId="0" fontId="37" fillId="4" borderId="11" xfId="0" applyFont="1" applyFill="1" applyBorder="1" applyProtection="1"/>
    <xf numFmtId="0" fontId="48" fillId="4" borderId="5" xfId="0" applyFont="1" applyFill="1" applyBorder="1" applyAlignment="1" applyProtection="1">
      <alignment vertical="center"/>
    </xf>
    <xf numFmtId="0" fontId="37" fillId="4" borderId="5" xfId="0" applyFont="1" applyFill="1" applyBorder="1" applyAlignment="1" applyProtection="1">
      <alignment vertical="center"/>
    </xf>
    <xf numFmtId="0" fontId="37" fillId="4" borderId="5" xfId="0" applyFont="1" applyFill="1" applyBorder="1" applyAlignment="1" applyProtection="1">
      <alignment horizontal="center"/>
    </xf>
    <xf numFmtId="0" fontId="37" fillId="4" borderId="5" xfId="0" applyFont="1" applyFill="1" applyBorder="1" applyAlignment="1" applyProtection="1">
      <alignment horizontal="center" vertical="center"/>
    </xf>
    <xf numFmtId="0" fontId="37" fillId="4" borderId="12" xfId="0" applyFont="1" applyFill="1" applyBorder="1" applyProtection="1"/>
    <xf numFmtId="0" fontId="37" fillId="4" borderId="13" xfId="0" applyFont="1" applyFill="1" applyBorder="1" applyProtection="1"/>
    <xf numFmtId="0" fontId="37" fillId="4" borderId="14" xfId="0" applyFont="1" applyFill="1" applyBorder="1" applyProtection="1"/>
    <xf numFmtId="0" fontId="32" fillId="4" borderId="0" xfId="0" applyFont="1" applyFill="1" applyBorder="1" applyAlignment="1" applyProtection="1">
      <alignment vertical="center"/>
    </xf>
    <xf numFmtId="0" fontId="32" fillId="4" borderId="0" xfId="0" applyFont="1" applyFill="1" applyBorder="1" applyAlignment="1" applyProtection="1">
      <alignment horizontal="center" vertical="center"/>
    </xf>
    <xf numFmtId="0" fontId="32" fillId="4" borderId="0" xfId="0" applyFont="1" applyFill="1" applyBorder="1" applyAlignment="1" applyProtection="1">
      <alignment vertical="center" wrapText="1"/>
    </xf>
    <xf numFmtId="0" fontId="37" fillId="4" borderId="0" xfId="0" applyFont="1" applyFill="1" applyBorder="1" applyAlignment="1" applyProtection="1">
      <alignment horizontal="center" vertical="center"/>
    </xf>
    <xf numFmtId="0" fontId="32" fillId="4" borderId="5" xfId="0" applyFont="1" applyFill="1" applyBorder="1" applyAlignment="1" applyProtection="1">
      <alignment vertical="center"/>
    </xf>
    <xf numFmtId="0" fontId="35" fillId="4" borderId="5" xfId="0" applyFont="1" applyFill="1" applyBorder="1" applyAlignment="1" applyProtection="1">
      <alignment horizontal="center" wrapText="1"/>
    </xf>
    <xf numFmtId="2" fontId="35" fillId="4" borderId="5" xfId="0" applyNumberFormat="1" applyFont="1" applyFill="1" applyBorder="1" applyAlignment="1" applyProtection="1">
      <alignment horizontal="center" wrapText="1"/>
    </xf>
    <xf numFmtId="4" fontId="37" fillId="4" borderId="0" xfId="0" applyNumberFormat="1" applyFont="1" applyFill="1" applyBorder="1" applyAlignment="1" applyProtection="1">
      <alignment horizontal="center" vertical="center"/>
    </xf>
    <xf numFmtId="0" fontId="37" fillId="4" borderId="17" xfId="0" applyFont="1" applyFill="1" applyBorder="1" applyProtection="1"/>
    <xf numFmtId="0" fontId="32" fillId="4" borderId="18" xfId="0" applyFont="1" applyFill="1" applyBorder="1" applyAlignment="1" applyProtection="1">
      <alignment vertical="center" wrapText="1"/>
    </xf>
    <xf numFmtId="2" fontId="37" fillId="4" borderId="18" xfId="0" applyNumberFormat="1" applyFont="1" applyFill="1" applyBorder="1" applyAlignment="1" applyProtection="1">
      <alignment horizontal="center" vertical="center"/>
    </xf>
    <xf numFmtId="0" fontId="37" fillId="4" borderId="18" xfId="0" applyFont="1" applyFill="1" applyBorder="1" applyAlignment="1" applyProtection="1">
      <alignment horizontal="center" vertical="center"/>
    </xf>
    <xf numFmtId="0" fontId="37" fillId="4" borderId="16" xfId="0" applyFont="1" applyFill="1" applyBorder="1" applyProtection="1"/>
    <xf numFmtId="4" fontId="37" fillId="4" borderId="18" xfId="0" applyNumberFormat="1" applyFont="1" applyFill="1" applyBorder="1" applyAlignment="1" applyProtection="1">
      <alignment horizontal="center" vertical="center"/>
    </xf>
    <xf numFmtId="0" fontId="32" fillId="4" borderId="0" xfId="0" applyFont="1" applyFill="1" applyAlignment="1" applyProtection="1">
      <alignment vertical="center"/>
    </xf>
    <xf numFmtId="0" fontId="32" fillId="4" borderId="0" xfId="0" applyFont="1" applyFill="1" applyAlignment="1" applyProtection="1">
      <alignment horizontal="center" vertical="center"/>
    </xf>
    <xf numFmtId="0" fontId="32" fillId="4" borderId="18" xfId="0" applyFont="1" applyFill="1" applyBorder="1" applyAlignment="1" applyProtection="1">
      <alignment vertical="center"/>
    </xf>
    <xf numFmtId="0" fontId="32" fillId="4" borderId="18" xfId="0" applyFont="1" applyFill="1" applyBorder="1" applyAlignment="1" applyProtection="1">
      <alignment horizontal="center" vertical="center"/>
    </xf>
    <xf numFmtId="4" fontId="37" fillId="6" borderId="6" xfId="0" applyNumberFormat="1" applyFont="1" applyFill="1" applyBorder="1" applyAlignment="1" applyProtection="1">
      <alignment horizontal="center" vertical="center"/>
    </xf>
    <xf numFmtId="168" fontId="37" fillId="6" borderId="6" xfId="0" applyNumberFormat="1" applyFont="1" applyFill="1" applyBorder="1" applyAlignment="1" applyProtection="1">
      <alignment horizontal="center" vertical="center"/>
    </xf>
    <xf numFmtId="4" fontId="37" fillId="6" borderId="6" xfId="0" applyNumberFormat="1" applyFont="1" applyFill="1" applyBorder="1" applyAlignment="1" applyProtection="1">
      <alignment horizontal="center" vertical="center" wrapText="1"/>
    </xf>
    <xf numFmtId="0" fontId="32" fillId="7" borderId="34" xfId="0" applyFont="1" applyFill="1" applyBorder="1" applyAlignment="1" applyProtection="1">
      <alignment vertical="center" wrapText="1"/>
    </xf>
    <xf numFmtId="0" fontId="32" fillId="7" borderId="10" xfId="0" applyFont="1" applyFill="1" applyBorder="1" applyAlignment="1" applyProtection="1">
      <alignment vertical="center"/>
    </xf>
    <xf numFmtId="0" fontId="32" fillId="7" borderId="10" xfId="0" applyFont="1" applyFill="1" applyBorder="1" applyAlignment="1" applyProtection="1">
      <alignment vertical="center" wrapText="1"/>
    </xf>
    <xf numFmtId="4" fontId="37" fillId="6" borderId="10" xfId="0" applyNumberFormat="1" applyFont="1" applyFill="1" applyBorder="1" applyAlignment="1" applyProtection="1">
      <alignment horizontal="center" vertical="center"/>
    </xf>
    <xf numFmtId="0" fontId="32" fillId="7" borderId="9" xfId="0" applyFont="1" applyFill="1" applyBorder="1" applyAlignment="1" applyProtection="1">
      <alignment vertical="center" wrapText="1"/>
    </xf>
    <xf numFmtId="4" fontId="44" fillId="4" borderId="6" xfId="0" applyNumberFormat="1" applyFont="1" applyFill="1" applyBorder="1" applyAlignment="1">
      <alignment horizontal="center" vertical="top"/>
    </xf>
    <xf numFmtId="4" fontId="37" fillId="4" borderId="0" xfId="0" applyNumberFormat="1" applyFont="1" applyFill="1" applyBorder="1" applyAlignment="1">
      <alignment vertical="top"/>
    </xf>
    <xf numFmtId="4" fontId="37" fillId="4" borderId="6" xfId="0" applyNumberFormat="1" applyFont="1" applyFill="1" applyBorder="1" applyAlignment="1">
      <alignment horizontal="center" vertical="top"/>
    </xf>
    <xf numFmtId="4" fontId="37" fillId="4" borderId="19" xfId="0" applyNumberFormat="1" applyFont="1" applyFill="1" applyBorder="1" applyAlignment="1">
      <alignment vertical="top"/>
    </xf>
    <xf numFmtId="4" fontId="37" fillId="4" borderId="10" xfId="0" applyNumberFormat="1" applyFont="1" applyFill="1" applyBorder="1" applyAlignment="1">
      <alignment horizontal="center" vertical="top"/>
    </xf>
    <xf numFmtId="2" fontId="37" fillId="4" borderId="0" xfId="0" applyNumberFormat="1" applyFont="1" applyFill="1" applyBorder="1" applyAlignment="1">
      <alignment horizontal="left" vertical="center"/>
    </xf>
    <xf numFmtId="4" fontId="44" fillId="7" borderId="6" xfId="0" applyNumberFormat="1" applyFont="1" applyFill="1" applyBorder="1" applyAlignment="1">
      <alignment horizontal="center" vertical="top" wrapText="1"/>
    </xf>
    <xf numFmtId="4" fontId="44" fillId="7" borderId="6" xfId="0" applyNumberFormat="1" applyFont="1" applyFill="1" applyBorder="1" applyAlignment="1">
      <alignment horizontal="center" vertical="top"/>
    </xf>
    <xf numFmtId="4" fontId="37" fillId="7" borderId="6" xfId="0" applyNumberFormat="1" applyFont="1" applyFill="1" applyBorder="1" applyAlignment="1">
      <alignment horizontal="center" vertical="top"/>
    </xf>
    <xf numFmtId="4" fontId="37" fillId="6" borderId="6" xfId="0" applyNumberFormat="1" applyFont="1" applyFill="1" applyBorder="1" applyAlignment="1">
      <alignment horizontal="center" vertical="center"/>
    </xf>
    <xf numFmtId="4" fontId="37" fillId="5" borderId="6" xfId="0" applyNumberFormat="1" applyFont="1" applyFill="1" applyBorder="1" applyAlignment="1" applyProtection="1">
      <alignment vertical="top" wrapText="1"/>
      <protection locked="0"/>
    </xf>
    <xf numFmtId="2" fontId="37" fillId="4" borderId="11" xfId="0" applyNumberFormat="1" applyFont="1" applyFill="1" applyBorder="1" applyAlignment="1">
      <alignment horizontal="center" vertical="center"/>
    </xf>
    <xf numFmtId="2" fontId="37" fillId="4" borderId="5" xfId="0" applyNumberFormat="1" applyFont="1" applyFill="1" applyBorder="1" applyAlignment="1">
      <alignment horizontal="center" vertical="center"/>
    </xf>
    <xf numFmtId="2" fontId="37" fillId="4" borderId="12" xfId="0" applyNumberFormat="1" applyFont="1" applyFill="1" applyBorder="1" applyAlignment="1">
      <alignment horizontal="center" vertical="center"/>
    </xf>
    <xf numFmtId="2" fontId="37" fillId="4" borderId="13" xfId="0" applyNumberFormat="1" applyFont="1" applyFill="1" applyBorder="1" applyAlignment="1">
      <alignment horizontal="center" vertical="center"/>
    </xf>
    <xf numFmtId="2" fontId="37" fillId="4" borderId="0" xfId="0" applyNumberFormat="1" applyFont="1" applyFill="1" applyAlignment="1">
      <alignment horizontal="center" vertical="center"/>
    </xf>
    <xf numFmtId="2" fontId="57" fillId="4" borderId="0" xfId="0" applyNumberFormat="1" applyFont="1" applyFill="1" applyAlignment="1">
      <alignment horizontal="center" vertical="center"/>
    </xf>
    <xf numFmtId="2" fontId="37" fillId="4" borderId="14" xfId="0" applyNumberFormat="1" applyFont="1" applyFill="1" applyBorder="1" applyAlignment="1">
      <alignment horizontal="center" vertical="center"/>
    </xf>
    <xf numFmtId="2" fontId="59" fillId="4" borderId="6" xfId="0" applyNumberFormat="1" applyFont="1" applyFill="1" applyBorder="1" applyAlignment="1">
      <alignment horizontal="center" vertical="center"/>
    </xf>
    <xf numFmtId="167" fontId="37" fillId="4" borderId="0" xfId="0" applyNumberFormat="1" applyFont="1" applyFill="1" applyBorder="1" applyAlignment="1">
      <alignment horizontal="center" vertical="center" wrapText="1"/>
    </xf>
    <xf numFmtId="2" fontId="37" fillId="4" borderId="17" xfId="0" applyNumberFormat="1" applyFont="1" applyFill="1" applyBorder="1" applyAlignment="1">
      <alignment horizontal="center" vertical="center"/>
    </xf>
    <xf numFmtId="2" fontId="37" fillId="4" borderId="16" xfId="0" applyNumberFormat="1" applyFont="1" applyFill="1" applyBorder="1" applyAlignment="1">
      <alignment horizontal="center" vertical="center"/>
    </xf>
    <xf numFmtId="0" fontId="89" fillId="4" borderId="0" xfId="0" applyFont="1" applyFill="1"/>
    <xf numFmtId="2" fontId="44" fillId="7" borderId="6" xfId="0" applyNumberFormat="1" applyFont="1" applyFill="1" applyBorder="1" applyAlignment="1">
      <alignment horizontal="center" vertical="center" wrapText="1"/>
    </xf>
    <xf numFmtId="2" fontId="44" fillId="7" borderId="6" xfId="0" applyNumberFormat="1" applyFont="1" applyFill="1" applyBorder="1" applyAlignment="1" applyProtection="1">
      <alignment horizontal="center" vertical="center" wrapText="1"/>
    </xf>
    <xf numFmtId="2" fontId="37" fillId="7" borderId="9" xfId="0" applyNumberFormat="1" applyFont="1" applyFill="1" applyBorder="1" applyAlignment="1">
      <alignment horizontal="center" vertical="center" wrapText="1"/>
    </xf>
    <xf numFmtId="0" fontId="6" fillId="4" borderId="0" xfId="0" applyFont="1" applyFill="1"/>
    <xf numFmtId="49" fontId="6" fillId="4" borderId="0" xfId="0" applyNumberFormat="1" applyFont="1" applyFill="1"/>
    <xf numFmtId="0" fontId="13" fillId="4" borderId="0" xfId="0" applyFont="1" applyFill="1"/>
    <xf numFmtId="49" fontId="0" fillId="4" borderId="0" xfId="0" applyNumberFormat="1" applyFill="1" applyBorder="1"/>
    <xf numFmtId="49" fontId="0" fillId="4" borderId="5" xfId="0" applyNumberFormat="1" applyFill="1" applyBorder="1"/>
    <xf numFmtId="0" fontId="3" fillId="4" borderId="0" xfId="0" applyFont="1" applyFill="1" applyAlignment="1">
      <alignment horizontal="center" vertical="center"/>
    </xf>
    <xf numFmtId="0" fontId="3" fillId="4" borderId="13" xfId="0" applyFont="1" applyFill="1" applyBorder="1" applyAlignment="1">
      <alignment horizontal="center" vertical="center"/>
    </xf>
    <xf numFmtId="4" fontId="6" fillId="4" borderId="0" xfId="0" applyNumberFormat="1" applyFont="1" applyFill="1" applyBorder="1" applyAlignment="1">
      <alignment horizontal="left" vertical="center"/>
    </xf>
    <xf numFmtId="49" fontId="6" fillId="4" borderId="0" xfId="0" applyNumberFormat="1" applyFont="1" applyFill="1" applyBorder="1" applyAlignment="1">
      <alignment horizontal="left" vertical="center"/>
    </xf>
    <xf numFmtId="0" fontId="3" fillId="4" borderId="14" xfId="0" applyFont="1" applyFill="1" applyBorder="1" applyAlignment="1">
      <alignment horizontal="center" vertical="center"/>
    </xf>
    <xf numFmtId="4" fontId="3" fillId="4" borderId="0" xfId="0" applyNumberFormat="1" applyFont="1" applyFill="1" applyBorder="1" applyAlignment="1">
      <alignment horizontal="left" vertical="center"/>
    </xf>
    <xf numFmtId="49" fontId="3" fillId="4" borderId="0" xfId="0" applyNumberFormat="1" applyFont="1" applyFill="1" applyBorder="1" applyAlignment="1">
      <alignment horizontal="left" vertical="center"/>
    </xf>
    <xf numFmtId="0" fontId="3" fillId="4" borderId="0" xfId="0" applyFont="1" applyFill="1" applyAlignment="1">
      <alignment horizontal="left" vertical="center"/>
    </xf>
    <xf numFmtId="4" fontId="3" fillId="4" borderId="0"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49" fontId="5" fillId="4" borderId="0" xfId="0" applyNumberFormat="1" applyFont="1" applyFill="1" applyBorder="1" applyAlignment="1">
      <alignment horizontal="left" vertical="center"/>
    </xf>
    <xf numFmtId="4" fontId="5" fillId="4" borderId="0" xfId="0" applyNumberFormat="1" applyFont="1" applyFill="1" applyBorder="1" applyAlignment="1">
      <alignment horizontal="right" vertical="center"/>
    </xf>
    <xf numFmtId="0" fontId="5" fillId="4" borderId="0" xfId="0" applyFont="1" applyFill="1" applyAlignment="1">
      <alignment horizontal="left" vertical="center"/>
    </xf>
    <xf numFmtId="49" fontId="0" fillId="4" borderId="18" xfId="0" applyNumberFormat="1" applyFill="1" applyBorder="1"/>
    <xf numFmtId="49" fontId="0" fillId="4" borderId="0" xfId="0" applyNumberFormat="1" applyFill="1"/>
    <xf numFmtId="2" fontId="44" fillId="4" borderId="14" xfId="0" applyNumberFormat="1" applyFont="1" applyFill="1" applyBorder="1"/>
    <xf numFmtId="0" fontId="35" fillId="4" borderId="5" xfId="0" applyFont="1" applyFill="1" applyBorder="1" applyAlignment="1">
      <alignment vertical="center"/>
    </xf>
    <xf numFmtId="1" fontId="37" fillId="4" borderId="6" xfId="0" applyNumberFormat="1" applyFont="1" applyFill="1" applyBorder="1" applyAlignment="1">
      <alignment horizontal="center" vertical="center" wrapText="1"/>
    </xf>
    <xf numFmtId="3" fontId="37" fillId="4" borderId="0" xfId="0" applyNumberFormat="1" applyFont="1" applyFill="1" applyBorder="1" applyAlignment="1">
      <alignment horizontal="center" vertical="center" wrapText="1"/>
    </xf>
    <xf numFmtId="2" fontId="58" fillId="4" borderId="0" xfId="0" applyNumberFormat="1" applyFont="1" applyFill="1" applyBorder="1" applyAlignment="1">
      <alignment horizontal="center" vertical="center" wrapText="1"/>
    </xf>
    <xf numFmtId="0" fontId="44" fillId="4" borderId="0" xfId="0" applyNumberFormat="1" applyFont="1" applyFill="1" applyBorder="1" applyAlignment="1">
      <alignment horizontal="right" vertical="center"/>
    </xf>
    <xf numFmtId="4" fontId="44" fillId="4" borderId="27" xfId="0" applyNumberFormat="1" applyFont="1" applyFill="1" applyBorder="1" applyAlignment="1">
      <alignment horizontal="center" vertical="center"/>
    </xf>
    <xf numFmtId="0" fontId="32" fillId="4" borderId="0" xfId="0" applyFont="1" applyFill="1" applyBorder="1" applyAlignment="1">
      <alignment horizontal="right" vertical="top"/>
    </xf>
    <xf numFmtId="0" fontId="53" fillId="4" borderId="0" xfId="0" applyNumberFormat="1" applyFont="1" applyFill="1" applyBorder="1" applyAlignment="1">
      <alignment horizontal="left" vertical="center"/>
    </xf>
    <xf numFmtId="0" fontId="44" fillId="4" borderId="18" xfId="0" applyNumberFormat="1" applyFont="1" applyFill="1" applyBorder="1" applyAlignment="1">
      <alignment horizontal="right" vertical="center"/>
    </xf>
    <xf numFmtId="0" fontId="37" fillId="4" borderId="18" xfId="0" applyFont="1" applyFill="1" applyBorder="1" applyAlignment="1">
      <alignment horizontal="right"/>
    </xf>
    <xf numFmtId="4" fontId="44" fillId="4" borderId="18" xfId="0" applyNumberFormat="1" applyFont="1" applyFill="1" applyBorder="1" applyAlignment="1">
      <alignment horizontal="center" vertical="center"/>
    </xf>
    <xf numFmtId="0" fontId="37" fillId="4" borderId="53" xfId="0" applyFont="1" applyFill="1" applyBorder="1"/>
    <xf numFmtId="0" fontId="34" fillId="4" borderId="54" xfId="0" applyFont="1" applyFill="1" applyBorder="1"/>
    <xf numFmtId="2" fontId="37" fillId="4" borderId="54" xfId="0" applyNumberFormat="1" applyFont="1" applyFill="1" applyBorder="1"/>
    <xf numFmtId="2" fontId="37" fillId="4" borderId="55" xfId="0" applyNumberFormat="1" applyFont="1" applyFill="1" applyBorder="1"/>
    <xf numFmtId="0" fontId="37" fillId="4" borderId="56" xfId="0" applyFont="1" applyFill="1" applyBorder="1" applyAlignment="1">
      <alignment wrapText="1"/>
    </xf>
    <xf numFmtId="0" fontId="37" fillId="4" borderId="57" xfId="0" applyFont="1" applyFill="1" applyBorder="1" applyAlignment="1">
      <alignment wrapText="1"/>
    </xf>
    <xf numFmtId="0" fontId="37" fillId="4" borderId="56" xfId="0" applyFont="1" applyFill="1" applyBorder="1"/>
    <xf numFmtId="0" fontId="37" fillId="4" borderId="57" xfId="0" applyFont="1" applyFill="1" applyBorder="1"/>
    <xf numFmtId="0" fontId="37" fillId="4" borderId="58" xfId="0" applyFont="1" applyFill="1" applyBorder="1"/>
    <xf numFmtId="0" fontId="37" fillId="4" borderId="59" xfId="0" applyFont="1" applyFill="1" applyBorder="1"/>
    <xf numFmtId="0" fontId="37" fillId="4" borderId="60" xfId="0" applyFont="1" applyFill="1" applyBorder="1"/>
    <xf numFmtId="0" fontId="51" fillId="4" borderId="54" xfId="0" applyFont="1" applyFill="1" applyBorder="1"/>
    <xf numFmtId="0" fontId="34" fillId="4" borderId="59" xfId="0" applyFont="1" applyFill="1" applyBorder="1"/>
    <xf numFmtId="2" fontId="37" fillId="6" borderId="6" xfId="0" applyNumberFormat="1" applyFont="1" applyFill="1" applyBorder="1" applyAlignment="1" applyProtection="1">
      <alignment horizontal="center" vertical="center" wrapText="1"/>
      <protection locked="0"/>
    </xf>
    <xf numFmtId="0" fontId="27" fillId="4" borderId="0" xfId="51" applyFont="1" applyFill="1"/>
    <xf numFmtId="0" fontId="1" fillId="4" borderId="0" xfId="51" applyFill="1"/>
    <xf numFmtId="0" fontId="1" fillId="4" borderId="45" xfId="51" applyFill="1" applyBorder="1"/>
    <xf numFmtId="0" fontId="1" fillId="4" borderId="46" xfId="51" applyFill="1" applyBorder="1"/>
    <xf numFmtId="0" fontId="1" fillId="4" borderId="0" xfId="51" applyFill="1" applyAlignment="1">
      <alignment horizontal="center"/>
    </xf>
    <xf numFmtId="0" fontId="30" fillId="4" borderId="0" xfId="51" applyFont="1" applyFill="1" applyAlignment="1">
      <alignment vertical="center" wrapText="1"/>
    </xf>
    <xf numFmtId="0" fontId="30" fillId="4" borderId="0" xfId="51" applyFont="1" applyFill="1" applyAlignment="1">
      <alignment horizontal="center" wrapText="1"/>
    </xf>
    <xf numFmtId="0" fontId="30" fillId="4" borderId="0" xfId="51" applyFont="1" applyFill="1"/>
    <xf numFmtId="0" fontId="31" fillId="4" borderId="0" xfId="52" applyFill="1"/>
    <xf numFmtId="0" fontId="28" fillId="4" borderId="50" xfId="51" applyFont="1" applyFill="1" applyBorder="1" applyAlignment="1">
      <alignment vertical="center" wrapText="1"/>
    </xf>
    <xf numFmtId="0" fontId="28" fillId="4" borderId="51" xfId="51" applyFont="1" applyFill="1" applyBorder="1" applyAlignment="1">
      <alignment vertical="center" wrapText="1"/>
    </xf>
    <xf numFmtId="0" fontId="28" fillId="4" borderId="50" xfId="51" applyFont="1" applyFill="1" applyBorder="1" applyAlignment="1">
      <alignment horizontal="center" vertical="center" wrapText="1"/>
    </xf>
    <xf numFmtId="0" fontId="28" fillId="4" borderId="0" xfId="51" applyFont="1" applyFill="1" applyBorder="1" applyAlignment="1">
      <alignment horizontal="center" vertical="center" wrapText="1"/>
    </xf>
    <xf numFmtId="0" fontId="28" fillId="4" borderId="51" xfId="51" applyFont="1" applyFill="1" applyBorder="1" applyAlignment="1">
      <alignment horizontal="center" vertical="center" wrapText="1"/>
    </xf>
    <xf numFmtId="0" fontId="1" fillId="4" borderId="39" xfId="51" applyFill="1" applyBorder="1" applyAlignment="1">
      <alignment vertical="center" wrapText="1"/>
    </xf>
    <xf numFmtId="0" fontId="1" fillId="4" borderId="27" xfId="51" applyFill="1" applyBorder="1" applyAlignment="1">
      <alignment horizontal="center" vertical="center" wrapText="1"/>
    </xf>
    <xf numFmtId="0" fontId="1" fillId="4" borderId="27" xfId="51" applyFill="1" applyBorder="1" applyAlignment="1">
      <alignment horizontal="center" vertical="center"/>
    </xf>
    <xf numFmtId="0" fontId="1" fillId="4" borderId="41" xfId="51" applyFill="1" applyBorder="1" applyAlignment="1">
      <alignment horizontal="center" vertical="center"/>
    </xf>
    <xf numFmtId="0" fontId="1" fillId="4" borderId="31" xfId="51" applyFill="1" applyBorder="1" applyAlignment="1">
      <alignment vertical="center" wrapText="1"/>
    </xf>
    <xf numFmtId="0" fontId="1" fillId="4" borderId="0" xfId="51" applyFill="1" applyBorder="1" applyAlignment="1">
      <alignment horizontal="center" vertical="center" wrapText="1"/>
    </xf>
    <xf numFmtId="0" fontId="1" fillId="4" borderId="0" xfId="51" applyFill="1" applyBorder="1" applyAlignment="1">
      <alignment horizontal="center" vertical="center"/>
    </xf>
    <xf numFmtId="0" fontId="1" fillId="4" borderId="15" xfId="51" applyFill="1" applyBorder="1" applyAlignment="1">
      <alignment horizontal="center" vertical="center"/>
    </xf>
    <xf numFmtId="0" fontId="1" fillId="4" borderId="0" xfId="51" applyFill="1" applyBorder="1"/>
    <xf numFmtId="164" fontId="1" fillId="4" borderId="15" xfId="51" applyNumberFormat="1" applyFill="1" applyBorder="1" applyAlignment="1">
      <alignment horizontal="center" vertical="center"/>
    </xf>
    <xf numFmtId="0" fontId="1" fillId="4" borderId="37" xfId="51" applyFill="1" applyBorder="1" applyAlignment="1">
      <alignment vertical="center" wrapText="1"/>
    </xf>
    <xf numFmtId="0" fontId="1" fillId="4" borderId="3" xfId="51" applyFill="1" applyBorder="1" applyAlignment="1">
      <alignment horizontal="center" vertical="center" wrapText="1"/>
    </xf>
    <xf numFmtId="0" fontId="1" fillId="4" borderId="3" xfId="51" applyFill="1" applyBorder="1" applyAlignment="1">
      <alignment horizontal="center"/>
    </xf>
    <xf numFmtId="0" fontId="1" fillId="4" borderId="3" xfId="51" applyFill="1" applyBorder="1" applyAlignment="1">
      <alignment horizontal="center" vertical="center"/>
    </xf>
    <xf numFmtId="0" fontId="1" fillId="4" borderId="19" xfId="51" applyFill="1" applyBorder="1" applyAlignment="1">
      <alignment horizontal="center" vertical="center"/>
    </xf>
    <xf numFmtId="0" fontId="1" fillId="4" borderId="39" xfId="51" applyFill="1" applyBorder="1" applyAlignment="1">
      <alignment horizontal="center" vertical="center" wrapText="1"/>
    </xf>
    <xf numFmtId="0" fontId="1" fillId="4" borderId="41" xfId="51" applyFill="1" applyBorder="1" applyAlignment="1">
      <alignment horizontal="center" vertical="center" wrapText="1"/>
    </xf>
    <xf numFmtId="0" fontId="1" fillId="4" borderId="31" xfId="51" applyFill="1" applyBorder="1" applyAlignment="1">
      <alignment horizontal="center" vertical="center" wrapText="1"/>
    </xf>
    <xf numFmtId="0" fontId="1" fillId="4" borderId="15" xfId="51" applyFill="1" applyBorder="1" applyAlignment="1">
      <alignment horizontal="center" vertical="center" wrapText="1"/>
    </xf>
    <xf numFmtId="0" fontId="1" fillId="4" borderId="37" xfId="51" applyFill="1" applyBorder="1" applyAlignment="1">
      <alignment horizontal="center" vertical="center" wrapText="1"/>
    </xf>
    <xf numFmtId="0" fontId="1" fillId="4" borderId="19" xfId="51" applyFill="1" applyBorder="1" applyAlignment="1">
      <alignment horizontal="center" vertical="center" wrapText="1"/>
    </xf>
    <xf numFmtId="0" fontId="1" fillId="4" borderId="39" xfId="51" applyFill="1" applyBorder="1" applyAlignment="1">
      <alignment horizontal="center" vertical="center"/>
    </xf>
    <xf numFmtId="0" fontId="1" fillId="4" borderId="31" xfId="51" applyFill="1" applyBorder="1" applyAlignment="1">
      <alignment horizontal="center" vertical="center"/>
    </xf>
    <xf numFmtId="0" fontId="1" fillId="4" borderId="37" xfId="51" applyFill="1" applyBorder="1" applyAlignment="1">
      <alignment horizontal="center"/>
    </xf>
    <xf numFmtId="0" fontId="77" fillId="7" borderId="6" xfId="0" applyFont="1" applyFill="1" applyBorder="1"/>
    <xf numFmtId="164" fontId="37" fillId="7" borderId="6" xfId="0" applyNumberFormat="1" applyFont="1" applyFill="1" applyBorder="1" applyAlignment="1">
      <alignment horizontal="right"/>
    </xf>
    <xf numFmtId="0" fontId="37" fillId="7" borderId="6" xfId="0" applyFont="1" applyFill="1" applyBorder="1" applyAlignment="1">
      <alignment horizontal="right"/>
    </xf>
    <xf numFmtId="167" fontId="77" fillId="7" borderId="6" xfId="0" applyNumberFormat="1" applyFont="1" applyFill="1" applyBorder="1"/>
    <xf numFmtId="166" fontId="77" fillId="7" borderId="6" xfId="0" applyNumberFormat="1" applyFont="1" applyFill="1" applyBorder="1"/>
    <xf numFmtId="0" fontId="77" fillId="7" borderId="7" xfId="0" applyFont="1" applyFill="1" applyBorder="1"/>
    <xf numFmtId="167" fontId="77" fillId="7" borderId="7" xfId="0" applyNumberFormat="1" applyFont="1" applyFill="1" applyBorder="1"/>
    <xf numFmtId="2" fontId="77" fillId="7" borderId="6" xfId="0" applyNumberFormat="1" applyFont="1" applyFill="1" applyBorder="1"/>
    <xf numFmtId="0" fontId="77" fillId="7" borderId="6" xfId="0" applyNumberFormat="1" applyFont="1" applyFill="1" applyBorder="1"/>
    <xf numFmtId="0" fontId="77" fillId="7" borderId="7" xfId="0" applyFont="1" applyFill="1" applyBorder="1" applyProtection="1">
      <protection locked="0"/>
    </xf>
    <xf numFmtId="0" fontId="77" fillId="7" borderId="6" xfId="0" applyFont="1" applyFill="1" applyBorder="1" applyProtection="1">
      <protection locked="0"/>
    </xf>
    <xf numFmtId="4" fontId="35" fillId="6" borderId="6" xfId="0" applyNumberFormat="1" applyFont="1" applyFill="1" applyBorder="1" applyAlignment="1">
      <alignment horizontal="right"/>
    </xf>
    <xf numFmtId="0" fontId="44" fillId="0" borderId="9" xfId="0" applyFont="1" applyBorder="1"/>
    <xf numFmtId="0" fontId="44" fillId="0" borderId="34" xfId="0" applyFont="1" applyBorder="1"/>
    <xf numFmtId="0" fontId="37" fillId="0" borderId="0" xfId="0" applyFont="1" applyAlignment="1">
      <alignment horizontal="left"/>
    </xf>
    <xf numFmtId="14" fontId="37" fillId="0" borderId="0" xfId="0" applyNumberFormat="1" applyFont="1"/>
    <xf numFmtId="0" fontId="44" fillId="0" borderId="10" xfId="0" applyFont="1" applyBorder="1" applyAlignment="1">
      <alignment horizontal="center"/>
    </xf>
    <xf numFmtId="0" fontId="44" fillId="0" borderId="0" xfId="0" applyFont="1" applyAlignment="1">
      <alignment horizontal="center"/>
    </xf>
    <xf numFmtId="0" fontId="35" fillId="4" borderId="0" xfId="0" applyFont="1" applyFill="1" applyBorder="1" applyAlignment="1">
      <alignment horizontal="left" vertical="top" wrapText="1"/>
    </xf>
    <xf numFmtId="0" fontId="33" fillId="4" borderId="45" xfId="0" applyFont="1" applyFill="1" applyBorder="1" applyAlignment="1">
      <alignment horizontal="center" vertical="center" wrapText="1"/>
    </xf>
    <xf numFmtId="0" fontId="33" fillId="4" borderId="47" xfId="0" applyFont="1" applyFill="1" applyBorder="1" applyAlignment="1">
      <alignment horizontal="center" vertical="center" wrapText="1"/>
    </xf>
    <xf numFmtId="0" fontId="33" fillId="4" borderId="46" xfId="0" applyFont="1" applyFill="1" applyBorder="1" applyAlignment="1">
      <alignment horizontal="center" vertical="center" wrapText="1"/>
    </xf>
    <xf numFmtId="0" fontId="32" fillId="4" borderId="0" xfId="0" applyFont="1" applyFill="1" applyBorder="1" applyAlignment="1">
      <alignment horizontal="left" vertical="top" wrapText="1"/>
    </xf>
    <xf numFmtId="0" fontId="32" fillId="4" borderId="51" xfId="0" applyFont="1" applyFill="1" applyBorder="1" applyAlignment="1">
      <alignment horizontal="left" vertical="top" wrapText="1"/>
    </xf>
    <xf numFmtId="0" fontId="2" fillId="4" borderId="0" xfId="0" applyFont="1" applyFill="1" applyAlignment="1">
      <alignment horizontal="left" vertical="top" wrapText="1"/>
    </xf>
    <xf numFmtId="0" fontId="37" fillId="4" borderId="0" xfId="0" applyFont="1" applyFill="1" applyBorder="1" applyAlignment="1">
      <alignment horizontal="left" vertical="top" wrapText="1"/>
    </xf>
    <xf numFmtId="0" fontId="37" fillId="4" borderId="0" xfId="0" applyFont="1" applyFill="1" applyBorder="1" applyAlignment="1">
      <alignment wrapText="1"/>
    </xf>
    <xf numFmtId="0" fontId="35" fillId="4" borderId="0" xfId="0" applyFont="1" applyFill="1" applyBorder="1" applyAlignment="1">
      <alignment wrapText="1"/>
    </xf>
    <xf numFmtId="0" fontId="35" fillId="4" borderId="0" xfId="0" applyFont="1" applyFill="1" applyBorder="1" applyAlignment="1"/>
    <xf numFmtId="0" fontId="37" fillId="4" borderId="0" xfId="0" applyFont="1" applyFill="1" applyBorder="1" applyAlignment="1"/>
    <xf numFmtId="0" fontId="3" fillId="0" borderId="0" xfId="0" applyFont="1" applyAlignment="1">
      <alignment horizontal="left" vertical="center"/>
    </xf>
    <xf numFmtId="0" fontId="32" fillId="4" borderId="0" xfId="0" applyFont="1" applyFill="1" applyBorder="1" applyAlignment="1">
      <alignment horizontal="left" vertical="center"/>
    </xf>
    <xf numFmtId="0" fontId="32" fillId="4" borderId="0" xfId="0" applyFont="1" applyFill="1" applyBorder="1" applyAlignment="1">
      <alignment horizontal="left" vertical="center" wrapText="1"/>
    </xf>
    <xf numFmtId="0" fontId="32" fillId="4" borderId="51" xfId="0" applyFont="1" applyFill="1" applyBorder="1" applyAlignment="1">
      <alignment horizontal="left" vertical="center" wrapText="1"/>
    </xf>
    <xf numFmtId="0" fontId="32" fillId="4" borderId="51" xfId="0" applyFont="1" applyFill="1" applyBorder="1" applyAlignment="1">
      <alignment horizontal="left" vertical="center"/>
    </xf>
    <xf numFmtId="0" fontId="35" fillId="0" borderId="0" xfId="0" applyFont="1" applyBorder="1" applyAlignment="1">
      <alignment horizontal="left" vertical="top" wrapText="1"/>
    </xf>
    <xf numFmtId="0" fontId="35" fillId="0" borderId="0" xfId="0" applyFont="1" applyAlignment="1">
      <alignment horizontal="left"/>
    </xf>
    <xf numFmtId="0" fontId="44" fillId="4" borderId="34" xfId="0" applyFont="1" applyFill="1" applyBorder="1" applyAlignment="1">
      <alignment wrapText="1"/>
    </xf>
    <xf numFmtId="0" fontId="37" fillId="4" borderId="34" xfId="0" applyFont="1" applyFill="1" applyBorder="1" applyAlignment="1">
      <alignment wrapText="1"/>
    </xf>
    <xf numFmtId="0" fontId="48" fillId="4" borderId="11" xfId="0" applyFont="1" applyFill="1" applyBorder="1" applyAlignment="1">
      <alignment wrapText="1"/>
    </xf>
    <xf numFmtId="0" fontId="48" fillId="4" borderId="5" xfId="0" applyFont="1" applyFill="1" applyBorder="1" applyAlignment="1">
      <alignment wrapText="1"/>
    </xf>
    <xf numFmtId="0" fontId="37" fillId="5" borderId="9" xfId="0" applyFont="1" applyFill="1" applyBorder="1" applyAlignment="1">
      <alignment horizontal="left" vertical="top"/>
    </xf>
    <xf numFmtId="0" fontId="37" fillId="5" borderId="10" xfId="0" applyFont="1" applyFill="1" applyBorder="1" applyAlignment="1">
      <alignment horizontal="left" vertical="top"/>
    </xf>
    <xf numFmtId="0" fontId="44" fillId="4" borderId="18" xfId="0" applyFont="1" applyFill="1" applyBorder="1" applyAlignment="1">
      <alignment vertical="top" wrapText="1"/>
    </xf>
    <xf numFmtId="0" fontId="44" fillId="4" borderId="3" xfId="0" applyFont="1" applyFill="1" applyBorder="1" applyAlignment="1">
      <alignment wrapText="1"/>
    </xf>
    <xf numFmtId="0" fontId="32" fillId="4" borderId="0" xfId="0" applyFont="1" applyFill="1" applyAlignment="1">
      <alignment horizontal="left" wrapText="1"/>
    </xf>
    <xf numFmtId="0" fontId="35" fillId="4" borderId="9" xfId="0" applyFont="1" applyFill="1" applyBorder="1" applyAlignment="1">
      <alignment horizontal="left" vertical="center" wrapText="1"/>
    </xf>
    <xf numFmtId="0" fontId="35" fillId="4" borderId="34"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35" fillId="4" borderId="9" xfId="0" applyFont="1" applyFill="1" applyBorder="1" applyAlignment="1">
      <alignment horizontal="left" vertical="center"/>
    </xf>
    <xf numFmtId="0" fontId="35" fillId="4" borderId="34" xfId="0" applyFont="1" applyFill="1" applyBorder="1" applyAlignment="1">
      <alignment horizontal="left" vertical="center"/>
    </xf>
    <xf numFmtId="0" fontId="35" fillId="4" borderId="10" xfId="0" applyFont="1" applyFill="1" applyBorder="1" applyAlignment="1">
      <alignment horizontal="left" vertical="center"/>
    </xf>
    <xf numFmtId="0" fontId="44" fillId="4" borderId="5" xfId="0" applyFont="1" applyFill="1" applyBorder="1" applyAlignment="1">
      <alignment horizontal="center" vertical="center" wrapText="1"/>
    </xf>
    <xf numFmtId="0" fontId="37" fillId="4" borderId="5" xfId="0" applyFont="1" applyFill="1" applyBorder="1" applyAlignment="1">
      <alignment horizontal="center" vertical="center"/>
    </xf>
    <xf numFmtId="0" fontId="37" fillId="4" borderId="3" xfId="0" applyFont="1" applyFill="1" applyBorder="1" applyAlignment="1">
      <alignment horizontal="center" vertical="center"/>
    </xf>
    <xf numFmtId="4" fontId="57" fillId="7" borderId="9" xfId="0" applyNumberFormat="1" applyFont="1" applyFill="1" applyBorder="1" applyAlignment="1">
      <alignment horizontal="center" vertical="center" wrapText="1"/>
    </xf>
    <xf numFmtId="0" fontId="37" fillId="7" borderId="34" xfId="0" applyFont="1" applyFill="1" applyBorder="1" applyAlignment="1">
      <alignment horizontal="center" vertical="center" wrapText="1"/>
    </xf>
    <xf numFmtId="0" fontId="37" fillId="7" borderId="10" xfId="0" applyFont="1" applyFill="1" applyBorder="1" applyAlignment="1">
      <alignment horizontal="center" vertical="center" wrapText="1"/>
    </xf>
    <xf numFmtId="4" fontId="44" fillId="7" borderId="6" xfId="0" applyNumberFormat="1" applyFont="1" applyFill="1" applyBorder="1" applyAlignment="1">
      <alignment horizontal="center" vertical="center"/>
    </xf>
    <xf numFmtId="0" fontId="37" fillId="7" borderId="6" xfId="0" applyFont="1" applyFill="1" applyBorder="1" applyAlignment="1">
      <alignment horizontal="center" vertical="center"/>
    </xf>
    <xf numFmtId="0" fontId="44" fillId="4" borderId="6" xfId="0" applyNumberFormat="1" applyFont="1" applyFill="1" applyBorder="1" applyAlignment="1">
      <alignment horizontal="center" vertical="center"/>
    </xf>
    <xf numFmtId="0" fontId="37" fillId="4" borderId="6" xfId="0" applyFont="1" applyFill="1" applyBorder="1" applyAlignment="1"/>
    <xf numFmtId="0" fontId="37" fillId="4" borderId="0" xfId="0" applyFont="1" applyFill="1" applyBorder="1" applyAlignment="1">
      <alignment horizontal="left" vertical="center" wrapText="1"/>
    </xf>
    <xf numFmtId="0" fontId="37" fillId="4" borderId="13" xfId="0" applyFont="1" applyFill="1" applyBorder="1" applyAlignment="1">
      <alignment horizontal="right"/>
    </xf>
    <xf numFmtId="0" fontId="37" fillId="4" borderId="15" xfId="0" applyFont="1" applyFill="1" applyBorder="1" applyAlignment="1">
      <alignment horizontal="right"/>
    </xf>
    <xf numFmtId="0" fontId="44" fillId="4" borderId="5" xfId="0" applyFont="1" applyFill="1" applyBorder="1" applyAlignment="1">
      <alignment horizontal="center"/>
    </xf>
    <xf numFmtId="0" fontId="37" fillId="4" borderId="5" xfId="0" applyFont="1" applyFill="1" applyBorder="1" applyAlignment="1">
      <alignment horizontal="center"/>
    </xf>
    <xf numFmtId="0" fontId="44" fillId="4" borderId="12" xfId="0" applyFont="1" applyFill="1" applyBorder="1" applyAlignment="1">
      <alignment horizontal="center"/>
    </xf>
    <xf numFmtId="4" fontId="44" fillId="4" borderId="9" xfId="0" applyNumberFormat="1" applyFont="1" applyFill="1" applyBorder="1" applyAlignment="1">
      <alignment horizontal="center" vertical="center"/>
    </xf>
    <xf numFmtId="0" fontId="37" fillId="4" borderId="10" xfId="0" applyFont="1" applyFill="1" applyBorder="1" applyAlignment="1"/>
    <xf numFmtId="0" fontId="37" fillId="4" borderId="34" xfId="0" applyFont="1" applyFill="1" applyBorder="1" applyAlignment="1"/>
    <xf numFmtId="0" fontId="44" fillId="4" borderId="27" xfId="0" applyFont="1" applyFill="1" applyBorder="1" applyAlignment="1">
      <alignment horizontal="center"/>
    </xf>
    <xf numFmtId="0" fontId="37" fillId="4" borderId="27" xfId="0" applyFont="1" applyFill="1" applyBorder="1" applyAlignment="1">
      <alignment horizontal="center"/>
    </xf>
    <xf numFmtId="0" fontId="37" fillId="4" borderId="34" xfId="0" applyFont="1" applyFill="1" applyBorder="1" applyAlignment="1">
      <alignment horizontal="center" vertical="center"/>
    </xf>
    <xf numFmtId="0" fontId="37" fillId="4" borderId="10" xfId="0" applyFont="1" applyFill="1" applyBorder="1" applyAlignment="1">
      <alignment horizontal="center" vertical="center"/>
    </xf>
    <xf numFmtId="0" fontId="44" fillId="4" borderId="9" xfId="0" applyFont="1" applyFill="1" applyBorder="1" applyAlignment="1">
      <alignment horizontal="center" vertical="center"/>
    </xf>
    <xf numFmtId="0" fontId="81" fillId="4" borderId="6" xfId="0" applyNumberFormat="1" applyFont="1" applyFill="1" applyBorder="1" applyAlignment="1">
      <alignment horizontal="right" vertical="center"/>
    </xf>
    <xf numFmtId="0" fontId="78" fillId="4" borderId="0" xfId="0" applyFont="1" applyFill="1" applyBorder="1" applyAlignment="1">
      <alignment wrapText="1"/>
    </xf>
    <xf numFmtId="0" fontId="37" fillId="4" borderId="14" xfId="0" applyFont="1" applyFill="1" applyBorder="1" applyAlignment="1">
      <alignment wrapText="1"/>
    </xf>
    <xf numFmtId="0" fontId="37" fillId="4" borderId="0" xfId="0" applyFont="1" applyFill="1" applyBorder="1" applyAlignment="1">
      <alignment vertical="top"/>
    </xf>
    <xf numFmtId="2" fontId="37" fillId="4" borderId="18" xfId="0" applyNumberFormat="1" applyFont="1" applyFill="1" applyBorder="1" applyAlignment="1">
      <alignment horizontal="left" vertical="center" wrapText="1"/>
    </xf>
    <xf numFmtId="0" fontId="37" fillId="4" borderId="18" xfId="0" applyFont="1" applyFill="1" applyBorder="1" applyAlignment="1">
      <alignment vertical="center" wrapText="1"/>
    </xf>
    <xf numFmtId="0" fontId="37" fillId="4" borderId="18" xfId="0" applyFont="1" applyFill="1" applyBorder="1" applyAlignment="1"/>
    <xf numFmtId="0" fontId="44" fillId="7" borderId="9" xfId="0" applyFont="1" applyFill="1" applyBorder="1" applyAlignment="1">
      <alignment horizontal="left" vertical="center" wrapText="1"/>
    </xf>
    <xf numFmtId="0" fontId="44" fillId="7" borderId="34" xfId="0" applyFont="1" applyFill="1" applyBorder="1" applyAlignment="1">
      <alignment horizontal="left" vertical="center" wrapText="1"/>
    </xf>
    <xf numFmtId="0" fontId="44" fillId="7" borderId="9" xfId="0" applyFont="1" applyFill="1" applyBorder="1" applyAlignment="1">
      <alignment horizontal="left" vertical="center"/>
    </xf>
    <xf numFmtId="0" fontId="44" fillId="7" borderId="34" xfId="0" applyFont="1" applyFill="1" applyBorder="1" applyAlignment="1">
      <alignment horizontal="left" vertical="center"/>
    </xf>
    <xf numFmtId="0" fontId="44" fillId="7" borderId="10" xfId="0" applyFont="1" applyFill="1" applyBorder="1" applyAlignment="1">
      <alignment horizontal="left" vertical="center"/>
    </xf>
    <xf numFmtId="0" fontId="37" fillId="4" borderId="0" xfId="0" applyFont="1" applyFill="1" applyAlignment="1">
      <alignment wrapText="1"/>
    </xf>
    <xf numFmtId="0" fontId="37" fillId="4" borderId="0" xfId="0" applyFont="1" applyFill="1" applyAlignment="1"/>
    <xf numFmtId="0" fontId="37" fillId="7" borderId="7" xfId="0" applyFont="1" applyFill="1" applyBorder="1" applyAlignment="1">
      <alignment wrapText="1"/>
    </xf>
    <xf numFmtId="0" fontId="37" fillId="7" borderId="20" xfId="0" applyFont="1" applyFill="1" applyBorder="1" applyAlignment="1">
      <alignment wrapText="1"/>
    </xf>
    <xf numFmtId="0" fontId="37" fillId="7" borderId="9" xfId="0" applyFont="1" applyFill="1" applyBorder="1" applyAlignment="1">
      <alignment horizontal="center"/>
    </xf>
    <xf numFmtId="0" fontId="37" fillId="7" borderId="10" xfId="0" applyFont="1" applyFill="1" applyBorder="1" applyAlignment="1"/>
    <xf numFmtId="0" fontId="44" fillId="4" borderId="9" xfId="0" applyNumberFormat="1" applyFont="1" applyFill="1" applyBorder="1" applyAlignment="1">
      <alignment horizontal="right" vertical="center"/>
    </xf>
    <xf numFmtId="0" fontId="44" fillId="4" borderId="43" xfId="0" applyNumberFormat="1" applyFont="1" applyFill="1" applyBorder="1" applyAlignment="1">
      <alignment horizontal="right" vertical="center"/>
    </xf>
    <xf numFmtId="0" fontId="37" fillId="4" borderId="33" xfId="0" applyFont="1" applyFill="1" applyBorder="1" applyAlignment="1"/>
    <xf numFmtId="0" fontId="37" fillId="4" borderId="44" xfId="0" applyFont="1" applyFill="1" applyBorder="1" applyAlignment="1"/>
    <xf numFmtId="0" fontId="44" fillId="4" borderId="5" xfId="0" applyNumberFormat="1" applyFont="1" applyFill="1" applyBorder="1" applyAlignment="1">
      <alignment horizontal="right" vertical="center"/>
    </xf>
    <xf numFmtId="0" fontId="37" fillId="4" borderId="5" xfId="0" applyFont="1" applyFill="1" applyBorder="1" applyAlignment="1"/>
    <xf numFmtId="4" fontId="44" fillId="4" borderId="39" xfId="0" applyNumberFormat="1" applyFont="1" applyFill="1" applyBorder="1" applyAlignment="1">
      <alignment horizontal="center" vertical="center" wrapText="1"/>
    </xf>
    <xf numFmtId="4" fontId="44" fillId="4" borderId="27" xfId="0" applyNumberFormat="1" applyFont="1" applyFill="1" applyBorder="1" applyAlignment="1">
      <alignment horizontal="center" vertical="center" wrapText="1"/>
    </xf>
    <xf numFmtId="4" fontId="44" fillId="4" borderId="41" xfId="0" applyNumberFormat="1" applyFont="1" applyFill="1" applyBorder="1" applyAlignment="1">
      <alignment horizontal="center" vertical="center" wrapText="1"/>
    </xf>
    <xf numFmtId="2" fontId="44" fillId="4" borderId="6" xfId="0" applyNumberFormat="1" applyFont="1" applyFill="1" applyBorder="1" applyAlignment="1">
      <alignment horizontal="center" vertical="center"/>
    </xf>
    <xf numFmtId="0" fontId="35" fillId="4" borderId="5" xfId="0" applyFont="1" applyFill="1" applyBorder="1" applyAlignment="1">
      <alignment wrapText="1"/>
    </xf>
    <xf numFmtId="2" fontId="44" fillId="4" borderId="37" xfId="0" applyNumberFormat="1" applyFont="1" applyFill="1" applyBorder="1" applyAlignment="1">
      <alignment horizontal="center" vertical="center"/>
    </xf>
    <xf numFmtId="0" fontId="37" fillId="4" borderId="3" xfId="0" applyFont="1" applyFill="1" applyBorder="1" applyAlignment="1"/>
    <xf numFmtId="0" fontId="37" fillId="4" borderId="19" xfId="0" applyFont="1" applyFill="1" applyBorder="1" applyAlignment="1"/>
    <xf numFmtId="2" fontId="44" fillId="4" borderId="9" xfId="0" applyNumberFormat="1" applyFont="1" applyFill="1" applyBorder="1" applyAlignment="1">
      <alignment horizontal="center" vertical="center"/>
    </xf>
    <xf numFmtId="0" fontId="35" fillId="4" borderId="6" xfId="0" applyFont="1" applyFill="1" applyBorder="1" applyAlignment="1"/>
    <xf numFmtId="0" fontId="44" fillId="4" borderId="6" xfId="0" applyFont="1" applyFill="1" applyBorder="1" applyAlignment="1"/>
    <xf numFmtId="0" fontId="51" fillId="4" borderId="29" xfId="0" applyFont="1" applyFill="1" applyBorder="1" applyAlignment="1">
      <alignment vertical="top" wrapText="1"/>
    </xf>
    <xf numFmtId="0" fontId="52" fillId="4" borderId="29" xfId="0" applyFont="1" applyFill="1" applyBorder="1" applyAlignment="1">
      <alignment vertical="top"/>
    </xf>
    <xf numFmtId="0" fontId="51" fillId="4" borderId="5" xfId="0" applyFont="1" applyFill="1" applyBorder="1" applyAlignment="1">
      <alignment horizontal="left" wrapText="1"/>
    </xf>
    <xf numFmtId="0" fontId="32" fillId="4" borderId="9" xfId="0" applyNumberFormat="1" applyFont="1" applyFill="1" applyBorder="1" applyAlignment="1">
      <alignment wrapText="1"/>
    </xf>
    <xf numFmtId="0" fontId="32" fillId="4" borderId="34" xfId="0" applyFont="1" applyFill="1" applyBorder="1" applyAlignment="1">
      <alignment wrapText="1"/>
    </xf>
    <xf numFmtId="0" fontId="32" fillId="4" borderId="10" xfId="0" applyFont="1" applyFill="1" applyBorder="1" applyAlignment="1">
      <alignment wrapText="1"/>
    </xf>
    <xf numFmtId="0" fontId="37" fillId="7" borderId="9" xfId="0" applyFont="1" applyFill="1" applyBorder="1" applyAlignment="1">
      <alignment horizontal="center" vertical="center" wrapText="1"/>
    </xf>
    <xf numFmtId="0" fontId="44" fillId="4" borderId="0" xfId="0" applyFont="1" applyFill="1" applyBorder="1" applyAlignment="1">
      <alignment wrapText="1"/>
    </xf>
    <xf numFmtId="0" fontId="51" fillId="4" borderId="0" xfId="0" applyFont="1" applyFill="1" applyBorder="1" applyAlignment="1">
      <alignment wrapText="1"/>
    </xf>
    <xf numFmtId="0" fontId="35" fillId="4" borderId="29" xfId="0" applyFont="1" applyFill="1" applyBorder="1" applyAlignment="1">
      <alignment vertical="center" wrapText="1"/>
    </xf>
    <xf numFmtId="0" fontId="32" fillId="4" borderId="29" xfId="0" applyFont="1" applyFill="1" applyBorder="1" applyAlignment="1">
      <alignment vertical="center"/>
    </xf>
    <xf numFmtId="4" fontId="44" fillId="4" borderId="34" xfId="0" applyNumberFormat="1" applyFont="1" applyFill="1" applyBorder="1" applyAlignment="1">
      <alignment horizontal="center" vertical="center"/>
    </xf>
    <xf numFmtId="4" fontId="44" fillId="4" borderId="10" xfId="0" applyNumberFormat="1" applyFont="1" applyFill="1" applyBorder="1" applyAlignment="1">
      <alignment horizontal="center" vertical="center"/>
    </xf>
    <xf numFmtId="0" fontId="44" fillId="4" borderId="6" xfId="0" applyFont="1" applyFill="1" applyBorder="1" applyAlignment="1">
      <alignment horizontal="center" vertical="center"/>
    </xf>
    <xf numFmtId="0" fontId="37" fillId="4" borderId="6" xfId="0" applyFont="1" applyFill="1" applyBorder="1" applyAlignment="1">
      <alignment horizontal="center" vertical="center"/>
    </xf>
    <xf numFmtId="0" fontId="32" fillId="4" borderId="0" xfId="0" applyFont="1" applyFill="1" applyBorder="1" applyAlignment="1">
      <alignment wrapText="1"/>
    </xf>
    <xf numFmtId="0" fontId="35" fillId="4" borderId="5" xfId="0" applyFont="1" applyFill="1" applyBorder="1" applyAlignment="1">
      <alignment horizontal="left" vertical="center" wrapText="1"/>
    </xf>
    <xf numFmtId="0" fontId="37" fillId="4" borderId="5" xfId="0" applyFont="1" applyFill="1" applyBorder="1" applyAlignment="1">
      <alignment horizontal="left" vertical="center" wrapText="1"/>
    </xf>
    <xf numFmtId="0" fontId="44" fillId="4" borderId="6" xfId="0" applyFont="1" applyFill="1" applyBorder="1" applyAlignment="1">
      <alignment horizontal="right" vertical="center"/>
    </xf>
    <xf numFmtId="0" fontId="32" fillId="7" borderId="9" xfId="0" applyFont="1" applyFill="1" applyBorder="1" applyAlignment="1" applyProtection="1">
      <alignment vertical="center" wrapText="1"/>
    </xf>
    <xf numFmtId="0" fontId="37" fillId="7" borderId="34" xfId="0" applyFont="1" applyFill="1" applyBorder="1" applyAlignment="1" applyProtection="1">
      <alignment vertical="center" wrapText="1"/>
    </xf>
    <xf numFmtId="0" fontId="32" fillId="7" borderId="34" xfId="0" applyFont="1" applyFill="1" applyBorder="1" applyAlignment="1" applyProtection="1">
      <alignment vertical="center" wrapText="1"/>
    </xf>
    <xf numFmtId="0" fontId="48" fillId="4" borderId="5" xfId="0" applyFont="1" applyFill="1" applyBorder="1" applyAlignment="1" applyProtection="1">
      <alignment vertical="center" wrapText="1"/>
    </xf>
    <xf numFmtId="0" fontId="32" fillId="7" borderId="9" xfId="0" applyFont="1" applyFill="1" applyBorder="1" applyAlignment="1" applyProtection="1">
      <alignment vertical="center"/>
    </xf>
    <xf numFmtId="0" fontId="32" fillId="7" borderId="34" xfId="0" applyFont="1" applyFill="1" applyBorder="1" applyAlignment="1" applyProtection="1">
      <alignment vertical="center"/>
    </xf>
    <xf numFmtId="2" fontId="37" fillId="6" borderId="34" xfId="0" applyNumberFormat="1" applyFont="1" applyFill="1" applyBorder="1" applyAlignment="1" applyProtection="1">
      <alignment horizontal="center" vertical="center" wrapText="1"/>
    </xf>
    <xf numFmtId="0" fontId="37" fillId="6" borderId="34" xfId="0" applyFont="1" applyFill="1" applyBorder="1" applyAlignment="1" applyProtection="1">
      <alignment horizontal="center" vertical="center" wrapText="1"/>
    </xf>
    <xf numFmtId="0" fontId="37" fillId="6" borderId="10" xfId="0" applyFont="1" applyFill="1" applyBorder="1" applyAlignment="1" applyProtection="1">
      <alignment horizontal="center" vertical="center" wrapText="1"/>
    </xf>
    <xf numFmtId="0" fontId="34" fillId="4" borderId="0" xfId="0" applyFont="1" applyFill="1" applyAlignment="1">
      <alignment horizontal="left"/>
    </xf>
    <xf numFmtId="2" fontId="37" fillId="4" borderId="0" xfId="0" applyNumberFormat="1" applyFont="1" applyFill="1" applyBorder="1" applyAlignment="1">
      <alignment horizontal="left" vertical="center" wrapText="1"/>
    </xf>
    <xf numFmtId="0" fontId="37" fillId="4" borderId="0" xfId="0" applyFont="1" applyFill="1" applyAlignment="1">
      <alignment vertical="center" wrapText="1"/>
    </xf>
    <xf numFmtId="167" fontId="37" fillId="4" borderId="0" xfId="0" applyNumberFormat="1" applyFont="1" applyFill="1" applyBorder="1" applyAlignment="1">
      <alignment horizontal="left" vertical="center" wrapText="1"/>
    </xf>
    <xf numFmtId="0" fontId="37" fillId="4" borderId="0" xfId="0" applyFont="1" applyFill="1" applyAlignment="1">
      <alignment vertical="center"/>
    </xf>
    <xf numFmtId="0" fontId="37" fillId="4" borderId="0" xfId="0" applyFont="1" applyFill="1" applyBorder="1" applyAlignment="1">
      <alignment vertical="center" wrapText="1"/>
    </xf>
    <xf numFmtId="0" fontId="54" fillId="4" borderId="0" xfId="0" applyFont="1" applyFill="1" applyBorder="1" applyAlignment="1">
      <alignment vertical="center" wrapText="1"/>
    </xf>
    <xf numFmtId="0" fontId="44" fillId="4" borderId="0" xfId="0" applyFont="1" applyFill="1" applyBorder="1" applyAlignment="1">
      <alignment vertical="center" wrapText="1"/>
    </xf>
    <xf numFmtId="0" fontId="44" fillId="4" borderId="0" xfId="0" applyFont="1" applyFill="1" applyAlignment="1">
      <alignment vertical="center"/>
    </xf>
    <xf numFmtId="0" fontId="39" fillId="4" borderId="56" xfId="0" applyFont="1" applyFill="1" applyBorder="1" applyAlignment="1">
      <alignment wrapText="1"/>
    </xf>
    <xf numFmtId="0" fontId="39" fillId="4" borderId="0" xfId="0" applyFont="1" applyFill="1" applyBorder="1" applyAlignment="1">
      <alignment wrapText="1"/>
    </xf>
    <xf numFmtId="0" fontId="39" fillId="4" borderId="57" xfId="0" applyFont="1" applyFill="1" applyBorder="1" applyAlignment="1">
      <alignment wrapText="1"/>
    </xf>
    <xf numFmtId="0" fontId="39" fillId="4" borderId="58" xfId="0" applyFont="1" applyFill="1" applyBorder="1" applyAlignment="1">
      <alignment wrapText="1"/>
    </xf>
    <xf numFmtId="0" fontId="39" fillId="4" borderId="59" xfId="0" applyFont="1" applyFill="1" applyBorder="1" applyAlignment="1">
      <alignment wrapText="1"/>
    </xf>
    <xf numFmtId="0" fontId="39" fillId="4" borderId="60" xfId="0" applyFont="1" applyFill="1" applyBorder="1" applyAlignment="1">
      <alignment wrapText="1"/>
    </xf>
    <xf numFmtId="0" fontId="32" fillId="4" borderId="0" xfId="0" applyNumberFormat="1" applyFont="1" applyFill="1" applyBorder="1" applyAlignment="1">
      <alignment horizontal="left" vertical="center" wrapText="1"/>
    </xf>
    <xf numFmtId="0" fontId="32" fillId="4" borderId="0" xfId="0" applyFont="1" applyFill="1" applyAlignment="1">
      <alignment wrapText="1"/>
    </xf>
    <xf numFmtId="0" fontId="37" fillId="4" borderId="34" xfId="0" applyFont="1" applyFill="1" applyBorder="1" applyAlignment="1">
      <alignment horizontal="right" vertical="center"/>
    </xf>
    <xf numFmtId="0" fontId="37" fillId="4" borderId="10" xfId="0" applyFont="1" applyFill="1" applyBorder="1" applyAlignment="1">
      <alignment horizontal="right" vertical="center"/>
    </xf>
    <xf numFmtId="0" fontId="28" fillId="4" borderId="45" xfId="51" applyFont="1" applyFill="1" applyBorder="1" applyAlignment="1">
      <alignment horizontal="center"/>
    </xf>
    <xf numFmtId="0" fontId="28" fillId="4" borderId="47" xfId="51" applyFont="1" applyFill="1" applyBorder="1" applyAlignment="1">
      <alignment horizontal="center"/>
    </xf>
    <xf numFmtId="0" fontId="28" fillId="4" borderId="46" xfId="51" applyFont="1" applyFill="1" applyBorder="1" applyAlignment="1">
      <alignment horizontal="center"/>
    </xf>
  </cellXfs>
  <cellStyles count="54">
    <cellStyle name="Column heading" xfId="1" xr:uid="{00000000-0005-0000-0000-000000000000}"/>
    <cellStyle name="Comma" xfId="53" builtinId="3"/>
    <cellStyle name="Comma0" xfId="2" xr:uid="{00000000-0005-0000-0000-000001000000}"/>
    <cellStyle name="Corner heading" xfId="3" xr:uid="{00000000-0005-0000-0000-000002000000}"/>
    <cellStyle name="Currency0" xfId="4" xr:uid="{00000000-0005-0000-0000-000003000000}"/>
    <cellStyle name="Data" xfId="5" xr:uid="{00000000-0005-0000-0000-000004000000}"/>
    <cellStyle name="Data no deci" xfId="6" xr:uid="{00000000-0005-0000-0000-000005000000}"/>
    <cellStyle name="Data Superscript" xfId="7" xr:uid="{00000000-0005-0000-0000-000006000000}"/>
    <cellStyle name="Data_1-1A-Regular" xfId="8" xr:uid="{00000000-0005-0000-0000-000007000000}"/>
    <cellStyle name="Data-one deci" xfId="9" xr:uid="{00000000-0005-0000-0000-000008000000}"/>
    <cellStyle name="Date" xfId="10" xr:uid="{00000000-0005-0000-0000-000009000000}"/>
    <cellStyle name="Fixed" xfId="11" xr:uid="{00000000-0005-0000-0000-00000A000000}"/>
    <cellStyle name="Heading 1" xfId="12" builtinId="16" customBuiltin="1"/>
    <cellStyle name="Heading 2" xfId="13" builtinId="17" customBuiltin="1"/>
    <cellStyle name="Hed Side" xfId="14" xr:uid="{00000000-0005-0000-0000-00000D000000}"/>
    <cellStyle name="Hed Side bold" xfId="15" xr:uid="{00000000-0005-0000-0000-00000E000000}"/>
    <cellStyle name="Hed Side Indent" xfId="16" xr:uid="{00000000-0005-0000-0000-00000F000000}"/>
    <cellStyle name="Hed Side Regular" xfId="17" xr:uid="{00000000-0005-0000-0000-000010000000}"/>
    <cellStyle name="Hed Side_1-1A-Regular" xfId="18" xr:uid="{00000000-0005-0000-0000-000011000000}"/>
    <cellStyle name="Hed Top" xfId="19" xr:uid="{00000000-0005-0000-0000-000012000000}"/>
    <cellStyle name="Hed Top - SECTION" xfId="20" xr:uid="{00000000-0005-0000-0000-000013000000}"/>
    <cellStyle name="Hed Top_3-new4" xfId="21" xr:uid="{00000000-0005-0000-0000-000014000000}"/>
    <cellStyle name="Hyperlink 2" xfId="52" xr:uid="{F6A96F31-FE3A-4B49-A915-959D25216467}"/>
    <cellStyle name="Milliers [0]_Annex_comb_guideline_version4-2" xfId="22" xr:uid="{00000000-0005-0000-0000-000015000000}"/>
    <cellStyle name="Milliers_Annex_comb_guideline_version4-2" xfId="23" xr:uid="{00000000-0005-0000-0000-000016000000}"/>
    <cellStyle name="Monétaire [0]_Annex comb guideline 4-7" xfId="24" xr:uid="{00000000-0005-0000-0000-000017000000}"/>
    <cellStyle name="Monétaire_Annex_comb_guideline_version4-2" xfId="25" xr:uid="{00000000-0005-0000-0000-000018000000}"/>
    <cellStyle name="Normal" xfId="0" builtinId="0"/>
    <cellStyle name="Normal 2" xfId="51" xr:uid="{33FA8FDE-29A3-4997-9ED1-9010DF3C6D65}"/>
    <cellStyle name="Reference" xfId="26" xr:uid="{00000000-0005-0000-0000-00001A000000}"/>
    <cellStyle name="Row heading" xfId="27" xr:uid="{00000000-0005-0000-0000-00001B000000}"/>
    <cellStyle name="Source Hed" xfId="28" xr:uid="{00000000-0005-0000-0000-00001C000000}"/>
    <cellStyle name="Source Letter" xfId="29" xr:uid="{00000000-0005-0000-0000-00001D000000}"/>
    <cellStyle name="Source Superscript" xfId="30" xr:uid="{00000000-0005-0000-0000-00001E000000}"/>
    <cellStyle name="Source Text" xfId="31" xr:uid="{00000000-0005-0000-0000-00001F000000}"/>
    <cellStyle name="State" xfId="32" xr:uid="{00000000-0005-0000-0000-000020000000}"/>
    <cellStyle name="Superscript" xfId="33" xr:uid="{00000000-0005-0000-0000-000021000000}"/>
    <cellStyle name="Superscript- regular" xfId="34" xr:uid="{00000000-0005-0000-0000-000022000000}"/>
    <cellStyle name="Superscript_1-1A-Regular" xfId="35" xr:uid="{00000000-0005-0000-0000-000023000000}"/>
    <cellStyle name="Table Data" xfId="36" xr:uid="{00000000-0005-0000-0000-000024000000}"/>
    <cellStyle name="Table Head Top" xfId="37" xr:uid="{00000000-0005-0000-0000-000025000000}"/>
    <cellStyle name="Table Hed Side" xfId="38" xr:uid="{00000000-0005-0000-0000-000026000000}"/>
    <cellStyle name="Table Title" xfId="39" xr:uid="{00000000-0005-0000-0000-000027000000}"/>
    <cellStyle name="Title Text" xfId="40" xr:uid="{00000000-0005-0000-0000-000028000000}"/>
    <cellStyle name="Title Text 1" xfId="41" xr:uid="{00000000-0005-0000-0000-000029000000}"/>
    <cellStyle name="Title Text 2" xfId="42" xr:uid="{00000000-0005-0000-0000-00002A000000}"/>
    <cellStyle name="Title-1" xfId="43" xr:uid="{00000000-0005-0000-0000-00002B000000}"/>
    <cellStyle name="Title-2" xfId="44" xr:uid="{00000000-0005-0000-0000-00002C000000}"/>
    <cellStyle name="Title-3" xfId="45" xr:uid="{00000000-0005-0000-0000-00002D000000}"/>
    <cellStyle name="Total" xfId="46" builtinId="25" customBuiltin="1"/>
    <cellStyle name="Wrap" xfId="47" xr:uid="{00000000-0005-0000-0000-00002F000000}"/>
    <cellStyle name="Wrap Bold" xfId="48" xr:uid="{00000000-0005-0000-0000-000030000000}"/>
    <cellStyle name="Wrap Title" xfId="49" xr:uid="{00000000-0005-0000-0000-000031000000}"/>
    <cellStyle name="Wrap_NTS99-~11" xfId="50" xr:uid="{00000000-0005-0000-0000-000032000000}"/>
  </cellStyles>
  <dxfs count="0"/>
  <tableStyles count="0" defaultTableStyle="TableStyleMedium2" defaultPivotStyle="PivotStyleLight16"/>
  <colors>
    <mruColors>
      <color rgb="FFA5A5A5"/>
      <color rgb="FFCEDDB1"/>
      <color rgb="FFEFE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182880</xdr:colOff>
      <xdr:row>0</xdr:row>
      <xdr:rowOff>101600</xdr:rowOff>
    </xdr:from>
    <xdr:to>
      <xdr:col>2</xdr:col>
      <xdr:colOff>929444</xdr:colOff>
      <xdr:row>0</xdr:row>
      <xdr:rowOff>1161953</xdr:rowOff>
    </xdr:to>
    <xdr:pic>
      <xdr:nvPicPr>
        <xdr:cNvPr id="2" name="Picture 6">
          <a:extLst>
            <a:ext uri="{FF2B5EF4-FFF2-40B4-BE49-F238E27FC236}">
              <a16:creationId xmlns:a16="http://schemas.microsoft.com/office/drawing/2014/main" id="{41DB6F41-02EA-4818-8C89-8D95BC584F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01600"/>
          <a:ext cx="1122484" cy="106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WRI\WRI%20calculation%20tools%20-%20mob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troduction"/>
      <sheetName val="Emissions based on fuel use"/>
      <sheetName val="Emissions based on distance"/>
      <sheetName val="Reference"/>
      <sheetName val="FAQ"/>
      <sheetName val="Macros"/>
    </sheetNames>
    <sheetDataSet>
      <sheetData sheetId="0"/>
      <sheetData sheetId="1"/>
      <sheetData sheetId="2"/>
      <sheetData sheetId="3"/>
      <sheetData sheetId="4">
        <row r="196">
          <cell r="E196">
            <v>4</v>
          </cell>
          <cell r="F196">
            <v>2.2541567500000004</v>
          </cell>
          <cell r="G196">
            <v>2254.1567500000006</v>
          </cell>
          <cell r="H196">
            <v>1.6093</v>
          </cell>
          <cell r="I196">
            <v>1400.7063630149758</v>
          </cell>
          <cell r="J196">
            <v>1614.481954110483</v>
          </cell>
        </row>
        <row r="197">
          <cell r="E197">
            <v>5</v>
          </cell>
          <cell r="F197">
            <v>1.8033254000000003</v>
          </cell>
          <cell r="G197">
            <v>1803.3254000000004</v>
          </cell>
          <cell r="H197">
            <v>1.6093</v>
          </cell>
          <cell r="I197">
            <v>1120.5650904119807</v>
          </cell>
          <cell r="J197">
            <v>1291.5855632883865</v>
          </cell>
        </row>
        <row r="198">
          <cell r="E198">
            <v>6</v>
          </cell>
          <cell r="F198">
            <v>1.502771166666667</v>
          </cell>
          <cell r="G198">
            <v>1502.7711666666669</v>
          </cell>
          <cell r="H198">
            <v>1.6093</v>
          </cell>
          <cell r="I198">
            <v>933.8042420099838</v>
          </cell>
          <cell r="J198">
            <v>1076.3213027403222</v>
          </cell>
        </row>
        <row r="199">
          <cell r="E199">
            <v>7</v>
          </cell>
          <cell r="F199">
            <v>1.2880895714285716</v>
          </cell>
          <cell r="G199">
            <v>1288.0895714285716</v>
          </cell>
          <cell r="H199">
            <v>1.6093</v>
          </cell>
          <cell r="I199">
            <v>800.40363600855756</v>
          </cell>
          <cell r="J199">
            <v>922.5611166345617</v>
          </cell>
        </row>
        <row r="200">
          <cell r="E200">
            <v>8</v>
          </cell>
          <cell r="F200">
            <v>1.1270783750000002</v>
          </cell>
          <cell r="G200">
            <v>1127.0783750000003</v>
          </cell>
          <cell r="H200">
            <v>1.6093</v>
          </cell>
          <cell r="I200">
            <v>700.35318150748788</v>
          </cell>
          <cell r="J200">
            <v>807.2409770552415</v>
          </cell>
        </row>
        <row r="201">
          <cell r="E201">
            <v>9</v>
          </cell>
          <cell r="F201">
            <v>1.0018474444444445</v>
          </cell>
          <cell r="G201">
            <v>1001.8474444444445</v>
          </cell>
          <cell r="H201">
            <v>1.6093</v>
          </cell>
          <cell r="I201">
            <v>622.53616133998912</v>
          </cell>
          <cell r="J201">
            <v>717.54753516021458</v>
          </cell>
        </row>
        <row r="202">
          <cell r="E202">
            <v>10</v>
          </cell>
          <cell r="F202">
            <v>0.90166270000000015</v>
          </cell>
          <cell r="G202">
            <v>901.6627000000002</v>
          </cell>
          <cell r="H202">
            <v>1.6093</v>
          </cell>
          <cell r="I202">
            <v>560.28254520599035</v>
          </cell>
          <cell r="J202">
            <v>645.79278164419327</v>
          </cell>
        </row>
        <row r="203">
          <cell r="E203">
            <v>11</v>
          </cell>
          <cell r="F203">
            <v>0.8196933636363638</v>
          </cell>
          <cell r="G203">
            <v>819.69336363636376</v>
          </cell>
          <cell r="H203">
            <v>1.6093</v>
          </cell>
          <cell r="I203">
            <v>509.34776836908208</v>
          </cell>
          <cell r="J203">
            <v>587.08434694926655</v>
          </cell>
        </row>
        <row r="204">
          <cell r="E204">
            <v>12</v>
          </cell>
          <cell r="F204">
            <v>0.7513855833333335</v>
          </cell>
          <cell r="G204">
            <v>751.38558333333344</v>
          </cell>
          <cell r="H204">
            <v>1.6093</v>
          </cell>
          <cell r="I204">
            <v>466.9021210049919</v>
          </cell>
          <cell r="J204">
            <v>538.16065137016108</v>
          </cell>
        </row>
        <row r="205">
          <cell r="E205">
            <v>13</v>
          </cell>
          <cell r="F205">
            <v>0.69358669230769243</v>
          </cell>
          <cell r="G205">
            <v>693.58669230769249</v>
          </cell>
          <cell r="H205">
            <v>1.6093</v>
          </cell>
          <cell r="I205">
            <v>430.98657323537719</v>
          </cell>
          <cell r="J205">
            <v>496.76367818784092</v>
          </cell>
        </row>
        <row r="206">
          <cell r="E206">
            <v>14</v>
          </cell>
          <cell r="F206">
            <v>0.64404478571428581</v>
          </cell>
          <cell r="G206">
            <v>644.04478571428581</v>
          </cell>
          <cell r="H206">
            <v>1.6093</v>
          </cell>
          <cell r="I206">
            <v>400.20181800427878</v>
          </cell>
          <cell r="J206">
            <v>461.28055831728085</v>
          </cell>
        </row>
        <row r="207">
          <cell r="E207">
            <v>15</v>
          </cell>
          <cell r="F207">
            <v>0.60110846666666673</v>
          </cell>
          <cell r="G207">
            <v>601.10846666666669</v>
          </cell>
          <cell r="H207">
            <v>1.6093</v>
          </cell>
          <cell r="I207">
            <v>373.52169680399345</v>
          </cell>
          <cell r="J207">
            <v>430.52852109612871</v>
          </cell>
        </row>
        <row r="208">
          <cell r="E208">
            <v>16</v>
          </cell>
          <cell r="F208">
            <v>0.56353918750000009</v>
          </cell>
          <cell r="G208">
            <v>563.53918750000014</v>
          </cell>
          <cell r="H208">
            <v>1.6093</v>
          </cell>
          <cell r="I208">
            <v>350.17659075374394</v>
          </cell>
          <cell r="J208">
            <v>403.62048852762075</v>
          </cell>
        </row>
        <row r="209">
          <cell r="E209">
            <v>17</v>
          </cell>
          <cell r="F209">
            <v>0.53038982352941189</v>
          </cell>
          <cell r="G209">
            <v>530.38982352941184</v>
          </cell>
          <cell r="H209">
            <v>1.6093</v>
          </cell>
          <cell r="I209">
            <v>329.5779677682296</v>
          </cell>
          <cell r="J209">
            <v>379.87810684952541</v>
          </cell>
        </row>
        <row r="210">
          <cell r="E210">
            <v>18</v>
          </cell>
          <cell r="F210">
            <v>0.50092372222222226</v>
          </cell>
          <cell r="G210">
            <v>500.92372222222224</v>
          </cell>
          <cell r="H210">
            <v>1.6093</v>
          </cell>
          <cell r="I210">
            <v>311.26808066999456</v>
          </cell>
          <cell r="J210">
            <v>358.77376758010729</v>
          </cell>
        </row>
        <row r="211">
          <cell r="E211">
            <v>19</v>
          </cell>
          <cell r="F211">
            <v>0.47455931578947375</v>
          </cell>
          <cell r="G211">
            <v>474.55931578947377</v>
          </cell>
          <cell r="H211">
            <v>1.6093</v>
          </cell>
          <cell r="I211">
            <v>294.88555010841594</v>
          </cell>
          <cell r="J211">
            <v>339.89093770747007</v>
          </cell>
        </row>
        <row r="212">
          <cell r="E212">
            <v>20</v>
          </cell>
          <cell r="F212">
            <v>0.45083135000000008</v>
          </cell>
          <cell r="G212">
            <v>450.8313500000001</v>
          </cell>
          <cell r="H212">
            <v>1.6093</v>
          </cell>
          <cell r="I212">
            <v>280.14127260299517</v>
          </cell>
          <cell r="J212">
            <v>322.89639082209663</v>
          </cell>
        </row>
        <row r="213">
          <cell r="E213">
            <v>21</v>
          </cell>
          <cell r="F213">
            <v>0.42936319047619054</v>
          </cell>
          <cell r="G213">
            <v>429.36319047619054</v>
          </cell>
          <cell r="H213">
            <v>1.6093</v>
          </cell>
          <cell r="I213">
            <v>266.80121200285254</v>
          </cell>
          <cell r="J213">
            <v>307.52037221152057</v>
          </cell>
        </row>
        <row r="214">
          <cell r="E214">
            <v>22</v>
          </cell>
          <cell r="F214">
            <v>0.4098466818181819</v>
          </cell>
          <cell r="G214">
            <v>409.84668181818188</v>
          </cell>
          <cell r="H214">
            <v>1.6093</v>
          </cell>
          <cell r="I214">
            <v>254.67388418454104</v>
          </cell>
          <cell r="J214">
            <v>293.54217347463327</v>
          </cell>
        </row>
        <row r="215">
          <cell r="E215">
            <v>23</v>
          </cell>
          <cell r="F215">
            <v>0.3920272608695653</v>
          </cell>
          <cell r="G215">
            <v>392.02726086956528</v>
          </cell>
          <cell r="H215">
            <v>1.6093</v>
          </cell>
          <cell r="I215">
            <v>243.60110661130014</v>
          </cell>
          <cell r="J215">
            <v>280.77947028008401</v>
          </cell>
        </row>
        <row r="216">
          <cell r="E216">
            <v>24</v>
          </cell>
          <cell r="F216">
            <v>0.37569279166666675</v>
          </cell>
          <cell r="G216">
            <v>375.69279166666672</v>
          </cell>
          <cell r="H216">
            <v>1.6093</v>
          </cell>
          <cell r="I216">
            <v>233.45106050249595</v>
          </cell>
          <cell r="J216">
            <v>269.08032568508054</v>
          </cell>
        </row>
        <row r="217">
          <cell r="E217">
            <v>25</v>
          </cell>
          <cell r="F217">
            <v>0.36066508000000008</v>
          </cell>
          <cell r="G217">
            <v>360.6650800000001</v>
          </cell>
          <cell r="H217">
            <v>1.6093</v>
          </cell>
          <cell r="I217">
            <v>224.11301808239614</v>
          </cell>
          <cell r="J217">
            <v>258.31711265767728</v>
          </cell>
        </row>
        <row r="218">
          <cell r="E218">
            <v>26</v>
          </cell>
          <cell r="F218">
            <v>0.34679334615384622</v>
          </cell>
          <cell r="G218">
            <v>346.79334615384624</v>
          </cell>
          <cell r="H218">
            <v>1.6093</v>
          </cell>
          <cell r="I218">
            <v>215.4932866176886</v>
          </cell>
          <cell r="J218">
            <v>248.38183909392046</v>
          </cell>
        </row>
        <row r="219">
          <cell r="E219">
            <v>27</v>
          </cell>
          <cell r="F219">
            <v>0.33394914814814819</v>
          </cell>
          <cell r="G219">
            <v>333.9491481481482</v>
          </cell>
          <cell r="H219">
            <v>1.6093</v>
          </cell>
          <cell r="I219">
            <v>207.51205377999639</v>
          </cell>
          <cell r="J219">
            <v>239.18251172007157</v>
          </cell>
        </row>
        <row r="220">
          <cell r="E220">
            <v>28</v>
          </cell>
          <cell r="F220">
            <v>0.3220223928571429</v>
          </cell>
          <cell r="G220">
            <v>322.0223928571429</v>
          </cell>
          <cell r="H220">
            <v>1.6093</v>
          </cell>
          <cell r="I220">
            <v>200.10090900213939</v>
          </cell>
          <cell r="J220">
            <v>230.64027915864042</v>
          </cell>
        </row>
        <row r="221">
          <cell r="E221">
            <v>29</v>
          </cell>
          <cell r="F221">
            <v>0.31091817241379316</v>
          </cell>
          <cell r="G221">
            <v>310.91817241379317</v>
          </cell>
          <cell r="H221">
            <v>1.6093</v>
          </cell>
          <cell r="I221">
            <v>193.20087765723804</v>
          </cell>
          <cell r="J221">
            <v>222.68716608420456</v>
          </cell>
        </row>
        <row r="222">
          <cell r="E222">
            <v>30</v>
          </cell>
          <cell r="F222">
            <v>0.30055423333333336</v>
          </cell>
          <cell r="G222">
            <v>300.55423333333334</v>
          </cell>
          <cell r="H222">
            <v>1.6093</v>
          </cell>
          <cell r="I222">
            <v>186.76084840199672</v>
          </cell>
          <cell r="J222">
            <v>215.26426054806436</v>
          </cell>
        </row>
        <row r="223">
          <cell r="E223">
            <v>31</v>
          </cell>
          <cell r="F223">
            <v>0.29085893548387104</v>
          </cell>
          <cell r="G223">
            <v>290.85893548387105</v>
          </cell>
          <cell r="H223">
            <v>1.6093</v>
          </cell>
          <cell r="I223">
            <v>180.73630490515819</v>
          </cell>
          <cell r="J223">
            <v>208.32025214328817</v>
          </cell>
        </row>
        <row r="224">
          <cell r="E224">
            <v>32</v>
          </cell>
          <cell r="F224">
            <v>0.28176959375000005</v>
          </cell>
          <cell r="G224">
            <v>281.76959375000007</v>
          </cell>
          <cell r="H224">
            <v>1.6093</v>
          </cell>
          <cell r="I224">
            <v>175.08829537687197</v>
          </cell>
          <cell r="J224">
            <v>201.81024426381038</v>
          </cell>
        </row>
        <row r="225">
          <cell r="E225">
            <v>33</v>
          </cell>
          <cell r="F225">
            <v>0.27323112121212123</v>
          </cell>
          <cell r="G225">
            <v>273.23112121212125</v>
          </cell>
          <cell r="H225">
            <v>1.6093</v>
          </cell>
          <cell r="I225">
            <v>169.78258945636068</v>
          </cell>
          <cell r="J225">
            <v>195.69478231642216</v>
          </cell>
        </row>
        <row r="226">
          <cell r="E226">
            <v>34</v>
          </cell>
          <cell r="F226">
            <v>0.26519491176470594</v>
          </cell>
          <cell r="G226">
            <v>265.19491176470592</v>
          </cell>
          <cell r="H226">
            <v>1.6093</v>
          </cell>
          <cell r="I226">
            <v>164.7889838841148</v>
          </cell>
          <cell r="J226">
            <v>189.9390534247627</v>
          </cell>
        </row>
        <row r="227">
          <cell r="E227">
            <v>35</v>
          </cell>
          <cell r="F227">
            <v>0.25761791428571434</v>
          </cell>
          <cell r="G227">
            <v>257.61791428571433</v>
          </cell>
          <cell r="H227">
            <v>1.6093</v>
          </cell>
          <cell r="I227">
            <v>160.08072720171151</v>
          </cell>
          <cell r="J227">
            <v>184.51222332691233</v>
          </cell>
        </row>
        <row r="228">
          <cell r="E228">
            <v>36</v>
          </cell>
          <cell r="F228">
            <v>0.25046186111111113</v>
          </cell>
          <cell r="G228">
            <v>250.46186111111112</v>
          </cell>
          <cell r="H228">
            <v>1.6093</v>
          </cell>
          <cell r="I228">
            <v>155.63404033499728</v>
          </cell>
          <cell r="J228">
            <v>179.38688379005364</v>
          </cell>
        </row>
        <row r="229">
          <cell r="E229">
            <v>37</v>
          </cell>
          <cell r="F229">
            <v>0.24369262162162167</v>
          </cell>
          <cell r="G229">
            <v>243.69262162162167</v>
          </cell>
          <cell r="H229">
            <v>1.6093</v>
          </cell>
          <cell r="I229">
            <v>151.42771492053791</v>
          </cell>
          <cell r="J229">
            <v>174.53858963356572</v>
          </cell>
        </row>
        <row r="230">
          <cell r="E230">
            <v>38</v>
          </cell>
          <cell r="F230">
            <v>0.23727965789473687</v>
          </cell>
          <cell r="G230">
            <v>237.27965789473689</v>
          </cell>
          <cell r="H230">
            <v>1.6093</v>
          </cell>
          <cell r="I230">
            <v>147.44277505420797</v>
          </cell>
          <cell r="J230">
            <v>169.94546885373504</v>
          </cell>
        </row>
        <row r="231">
          <cell r="E231">
            <v>39</v>
          </cell>
          <cell r="F231">
            <v>0.23119556410256414</v>
          </cell>
          <cell r="G231">
            <v>231.19556410256413</v>
          </cell>
          <cell r="H231">
            <v>1.6093</v>
          </cell>
          <cell r="I231">
            <v>143.66219107845905</v>
          </cell>
          <cell r="J231">
            <v>165.5878927292803</v>
          </cell>
        </row>
        <row r="232">
          <cell r="E232">
            <v>40</v>
          </cell>
          <cell r="F232">
            <v>0.22541567500000004</v>
          </cell>
          <cell r="G232">
            <v>225.41567500000005</v>
          </cell>
          <cell r="H232">
            <v>1.6093</v>
          </cell>
          <cell r="I232">
            <v>140.07063630149759</v>
          </cell>
          <cell r="J232">
            <v>161.44819541104832</v>
          </cell>
        </row>
        <row r="233">
          <cell r="E233">
            <v>41</v>
          </cell>
          <cell r="F233">
            <v>0.2199177317073171</v>
          </cell>
          <cell r="G233">
            <v>219.9177317073171</v>
          </cell>
          <cell r="H233">
            <v>1.6093</v>
          </cell>
          <cell r="I233">
            <v>136.65427931853421</v>
          </cell>
          <cell r="J233">
            <v>157.51043454736418</v>
          </cell>
        </row>
        <row r="234">
          <cell r="E234">
            <v>42</v>
          </cell>
          <cell r="F234">
            <v>0.21468159523809527</v>
          </cell>
          <cell r="G234">
            <v>214.68159523809527</v>
          </cell>
          <cell r="H234">
            <v>1.6093</v>
          </cell>
          <cell r="I234">
            <v>133.40060600142627</v>
          </cell>
          <cell r="J234">
            <v>153.76018610576028</v>
          </cell>
        </row>
        <row r="235">
          <cell r="E235">
            <v>43</v>
          </cell>
          <cell r="F235">
            <v>0.20968900000000004</v>
          </cell>
          <cell r="G235">
            <v>209.68900000000005</v>
          </cell>
          <cell r="H235">
            <v>1.6093</v>
          </cell>
          <cell r="I235">
            <v>130.2982663269745</v>
          </cell>
          <cell r="J235">
            <v>150.18436782423097</v>
          </cell>
        </row>
        <row r="236">
          <cell r="E236">
            <v>44</v>
          </cell>
          <cell r="F236">
            <v>0.20492334090909095</v>
          </cell>
          <cell r="G236">
            <v>204.92334090909094</v>
          </cell>
          <cell r="H236">
            <v>1.6093</v>
          </cell>
          <cell r="I236">
            <v>127.33694209227052</v>
          </cell>
          <cell r="J236">
            <v>146.77108673731664</v>
          </cell>
        </row>
        <row r="237">
          <cell r="E237">
            <v>45</v>
          </cell>
          <cell r="F237">
            <v>0.20036948888888892</v>
          </cell>
          <cell r="G237">
            <v>200.36948888888892</v>
          </cell>
          <cell r="H237">
            <v>1.6093</v>
          </cell>
          <cell r="I237">
            <v>124.50723226799785</v>
          </cell>
          <cell r="J237">
            <v>143.50950703204293</v>
          </cell>
        </row>
        <row r="238">
          <cell r="E238">
            <v>46</v>
          </cell>
          <cell r="F238">
            <v>0.19601363043478265</v>
          </cell>
          <cell r="G238">
            <v>196.01363043478264</v>
          </cell>
          <cell r="H238">
            <v>1.6093</v>
          </cell>
          <cell r="I238">
            <v>121.80055330565007</v>
          </cell>
          <cell r="J238">
            <v>140.38973514004201</v>
          </cell>
        </row>
        <row r="239">
          <cell r="E239">
            <v>47</v>
          </cell>
          <cell r="F239">
            <v>0.19184312765957451</v>
          </cell>
          <cell r="G239">
            <v>191.84312765957452</v>
          </cell>
          <cell r="H239">
            <v>1.6093</v>
          </cell>
          <cell r="I239">
            <v>119.20905217148731</v>
          </cell>
          <cell r="J239">
            <v>137.40271949876455</v>
          </cell>
        </row>
        <row r="240">
          <cell r="E240">
            <v>48</v>
          </cell>
          <cell r="F240">
            <v>0.18784639583333337</v>
          </cell>
          <cell r="G240">
            <v>187.84639583333336</v>
          </cell>
          <cell r="H240">
            <v>1.6093</v>
          </cell>
          <cell r="I240">
            <v>116.72553025124797</v>
          </cell>
          <cell r="J240">
            <v>134.54016284254027</v>
          </cell>
        </row>
        <row r="241">
          <cell r="E241">
            <v>49</v>
          </cell>
          <cell r="F241">
            <v>0.18401279591836739</v>
          </cell>
          <cell r="G241">
            <v>184.0127959183674</v>
          </cell>
          <cell r="H241">
            <v>1.6093</v>
          </cell>
          <cell r="I241">
            <v>114.3433765726511</v>
          </cell>
          <cell r="J241">
            <v>131.79444523350884</v>
          </cell>
        </row>
        <row r="242">
          <cell r="E242">
            <v>50</v>
          </cell>
          <cell r="F242">
            <v>0.18033254000000004</v>
          </cell>
          <cell r="G242">
            <v>180.33254000000005</v>
          </cell>
          <cell r="H242">
            <v>1.6093</v>
          </cell>
          <cell r="I242">
            <v>112.05650904119807</v>
          </cell>
          <cell r="J242">
            <v>129.15855632883864</v>
          </cell>
        </row>
        <row r="243">
          <cell r="E243">
            <v>51</v>
          </cell>
          <cell r="F243">
            <v>0.17679660784313728</v>
          </cell>
          <cell r="G243">
            <v>176.79660784313728</v>
          </cell>
          <cell r="H243">
            <v>1.6093</v>
          </cell>
          <cell r="I243">
            <v>109.85932258940986</v>
          </cell>
          <cell r="J243">
            <v>126.62603561650847</v>
          </cell>
        </row>
        <row r="244">
          <cell r="E244">
            <v>52</v>
          </cell>
          <cell r="F244">
            <v>0.17339667307692311</v>
          </cell>
          <cell r="G244">
            <v>173.39667307692312</v>
          </cell>
          <cell r="H244">
            <v>1.6093</v>
          </cell>
          <cell r="I244">
            <v>107.7466433088443</v>
          </cell>
          <cell r="J244">
            <v>124.19091954696023</v>
          </cell>
        </row>
        <row r="245">
          <cell r="E245">
            <v>53</v>
          </cell>
          <cell r="F245">
            <v>0.17012503773584908</v>
          </cell>
          <cell r="G245">
            <v>170.12503773584908</v>
          </cell>
          <cell r="H245">
            <v>1.6093</v>
          </cell>
          <cell r="I245">
            <v>105.71368777471514</v>
          </cell>
          <cell r="J245">
            <v>121.84769464984777</v>
          </cell>
        </row>
        <row r="246">
          <cell r="E246">
            <v>54</v>
          </cell>
          <cell r="F246">
            <v>0.16697457407407409</v>
          </cell>
          <cell r="G246">
            <v>166.9745740740741</v>
          </cell>
          <cell r="H246">
            <v>1.6093</v>
          </cell>
          <cell r="I246">
            <v>103.7560268899982</v>
          </cell>
          <cell r="J246">
            <v>119.59125586003579</v>
          </cell>
        </row>
        <row r="247">
          <cell r="E247">
            <v>55</v>
          </cell>
          <cell r="F247">
            <v>0.16393867272727275</v>
          </cell>
          <cell r="G247">
            <v>163.93867272727275</v>
          </cell>
          <cell r="H247">
            <v>1.6093</v>
          </cell>
          <cell r="I247">
            <v>101.86955367381641</v>
          </cell>
          <cell r="J247">
            <v>117.41686938985332</v>
          </cell>
        </row>
        <row r="248">
          <cell r="E248">
            <v>56</v>
          </cell>
          <cell r="F248">
            <v>0.16101119642857145</v>
          </cell>
          <cell r="G248">
            <v>161.01119642857145</v>
          </cell>
          <cell r="H248">
            <v>1.6093</v>
          </cell>
          <cell r="I248">
            <v>100.05045450106969</v>
          </cell>
          <cell r="J248">
            <v>115.32013957932021</v>
          </cell>
        </row>
        <row r="249">
          <cell r="E249">
            <v>57</v>
          </cell>
          <cell r="F249">
            <v>0.15818643859649126</v>
          </cell>
          <cell r="G249">
            <v>158.18643859649126</v>
          </cell>
          <cell r="H249">
            <v>1.6093</v>
          </cell>
          <cell r="I249">
            <v>98.295183369471985</v>
          </cell>
          <cell r="J249">
            <v>113.29697923582337</v>
          </cell>
        </row>
        <row r="250">
          <cell r="E250">
            <v>58</v>
          </cell>
          <cell r="F250">
            <v>0.15545908620689658</v>
          </cell>
          <cell r="G250">
            <v>155.45908620689659</v>
          </cell>
          <cell r="H250">
            <v>1.6093</v>
          </cell>
          <cell r="I250">
            <v>96.600438828619019</v>
          </cell>
          <cell r="J250">
            <v>111.34358304210228</v>
          </cell>
        </row>
        <row r="251">
          <cell r="E251">
            <v>59</v>
          </cell>
          <cell r="F251">
            <v>0.15282418644067799</v>
          </cell>
          <cell r="G251">
            <v>152.82418644067801</v>
          </cell>
          <cell r="H251">
            <v>1.6093</v>
          </cell>
          <cell r="I251">
            <v>94.963143255252604</v>
          </cell>
          <cell r="J251">
            <v>109.45640366850733</v>
          </cell>
        </row>
        <row r="252">
          <cell r="E252">
            <v>60</v>
          </cell>
          <cell r="F252">
            <v>0.15027711666666668</v>
          </cell>
          <cell r="G252">
            <v>150.27711666666667</v>
          </cell>
          <cell r="H252">
            <v>1.6093</v>
          </cell>
          <cell r="I252">
            <v>93.380424200998362</v>
          </cell>
          <cell r="J252">
            <v>107.63213027403218</v>
          </cell>
        </row>
        <row r="253">
          <cell r="E253">
            <v>61</v>
          </cell>
          <cell r="F253">
            <v>0.14781355737704921</v>
          </cell>
          <cell r="G253">
            <v>147.81355737704922</v>
          </cell>
          <cell r="H253">
            <v>1.6093</v>
          </cell>
          <cell r="I253">
            <v>91.849597574752522</v>
          </cell>
          <cell r="J253">
            <v>105.8676691219989</v>
          </cell>
        </row>
        <row r="254">
          <cell r="E254">
            <v>62</v>
          </cell>
          <cell r="F254">
            <v>0.14542946774193552</v>
          </cell>
          <cell r="G254">
            <v>145.42946774193553</v>
          </cell>
          <cell r="H254">
            <v>1.6093</v>
          </cell>
          <cell r="I254">
            <v>90.368152452579096</v>
          </cell>
          <cell r="J254">
            <v>104.16012607164409</v>
          </cell>
        </row>
        <row r="255">
          <cell r="E255">
            <v>63</v>
          </cell>
          <cell r="F255">
            <v>0.14312106349206352</v>
          </cell>
          <cell r="G255">
            <v>143.12106349206351</v>
          </cell>
          <cell r="H255">
            <v>1.6093</v>
          </cell>
          <cell r="I255">
            <v>88.933737334284174</v>
          </cell>
          <cell r="J255">
            <v>102.50679073717353</v>
          </cell>
        </row>
        <row r="256">
          <cell r="E256">
            <v>64</v>
          </cell>
          <cell r="F256">
            <v>0.14088479687500002</v>
          </cell>
          <cell r="G256">
            <v>140.88479687500003</v>
          </cell>
          <cell r="H256">
            <v>1.6093</v>
          </cell>
          <cell r="I256">
            <v>87.544147688435984</v>
          </cell>
          <cell r="J256">
            <v>100.90512213190519</v>
          </cell>
        </row>
        <row r="257">
          <cell r="E257">
            <v>65</v>
          </cell>
          <cell r="F257">
            <v>0.1387173384615385</v>
          </cell>
          <cell r="G257">
            <v>138.7173384615385</v>
          </cell>
          <cell r="H257">
            <v>1.6093</v>
          </cell>
          <cell r="I257">
            <v>86.197314647075444</v>
          </cell>
          <cell r="J257">
            <v>99.352735637568202</v>
          </cell>
        </row>
        <row r="258">
          <cell r="E258">
            <v>66</v>
          </cell>
          <cell r="F258">
            <v>0.13661556060606062</v>
          </cell>
          <cell r="G258">
            <v>136.61556060606063</v>
          </cell>
          <cell r="H258">
            <v>1.6093</v>
          </cell>
          <cell r="I258">
            <v>84.891294728180341</v>
          </cell>
          <cell r="J258">
            <v>97.847391158211082</v>
          </cell>
        </row>
        <row r="259">
          <cell r="E259">
            <v>67</v>
          </cell>
          <cell r="F259">
            <v>0.13457652238805973</v>
          </cell>
          <cell r="G259">
            <v>134.57652238805971</v>
          </cell>
          <cell r="H259">
            <v>1.6093</v>
          </cell>
          <cell r="I259">
            <v>83.624260478506002</v>
          </cell>
          <cell r="J259">
            <v>96.386982334954197</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ipcc.ch/site/assets/uploads/2018/05/ar4_wg1_full_report-1.pdf" TargetMode="External"/><Relationship Id="rId2" Type="http://schemas.openxmlformats.org/officeDocument/2006/relationships/hyperlink" Target="https://www.ipcc.ch/site/assets/uploads/2018/02/WG1AR5_all_final.pdf" TargetMode="External"/><Relationship Id="rId1" Type="http://schemas.openxmlformats.org/officeDocument/2006/relationships/hyperlink" Target="https://www.ipcc.ch/report/ar6/wg1/downloads/report/IPCC_AR6_WGI_Full_Report.pdf" TargetMode="External"/><Relationship Id="rId5" Type="http://schemas.openxmlformats.org/officeDocument/2006/relationships/printerSettings" Target="../printerSettings/printerSettings26.bin"/><Relationship Id="rId4" Type="http://schemas.openxmlformats.org/officeDocument/2006/relationships/hyperlink" Target="https://www.ipcc.ch/site/assets/uploads/2018/02/ipcc_sar_wg_I_full_report.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4"/>
  <sheetViews>
    <sheetView tabSelected="1" zoomScaleNormal="100" workbookViewId="0">
      <selection activeCell="B1" sqref="B1:K1"/>
    </sheetView>
  </sheetViews>
  <sheetFormatPr defaultRowHeight="13.8" x14ac:dyDescent="0.3"/>
  <cols>
    <col min="1" max="1" width="8.88671875" style="9"/>
    <col min="2" max="2" width="5.44140625" style="9" customWidth="1"/>
    <col min="3" max="3" width="17.33203125" style="9" customWidth="1"/>
    <col min="4" max="6" width="15.33203125" style="9" customWidth="1"/>
    <col min="7" max="7" width="24.5546875" style="9" customWidth="1"/>
    <col min="8" max="10" width="8.88671875" style="9"/>
    <col min="11" max="11" width="10.88671875" style="9" customWidth="1"/>
    <col min="12" max="12" width="9" style="9" customWidth="1"/>
    <col min="13" max="19" width="8.88671875" style="43"/>
    <col min="20" max="16384" width="8.88671875" style="9"/>
  </cols>
  <sheetData>
    <row r="1" spans="1:19" s="8" customFormat="1" ht="122.25" customHeight="1" x14ac:dyDescent="0.35">
      <c r="A1" s="42"/>
      <c r="B1" s="755" t="s">
        <v>570</v>
      </c>
      <c r="C1" s="756"/>
      <c r="D1" s="756"/>
      <c r="E1" s="756"/>
      <c r="F1" s="756"/>
      <c r="G1" s="756"/>
      <c r="H1" s="756"/>
      <c r="I1" s="756"/>
      <c r="J1" s="756"/>
      <c r="K1" s="757"/>
      <c r="L1" s="42"/>
      <c r="M1" s="42"/>
      <c r="N1" s="42"/>
      <c r="O1" s="42"/>
      <c r="P1" s="42"/>
      <c r="Q1" s="42"/>
      <c r="R1" s="42"/>
      <c r="S1" s="42"/>
    </row>
    <row r="2" spans="1:19" ht="41.25" customHeight="1" x14ac:dyDescent="0.3">
      <c r="A2" s="43"/>
      <c r="B2" s="33"/>
      <c r="C2" s="763" t="s">
        <v>214</v>
      </c>
      <c r="D2" s="764"/>
      <c r="E2" s="764"/>
      <c r="F2" s="764"/>
      <c r="G2" s="764"/>
      <c r="H2" s="765"/>
      <c r="I2" s="765"/>
      <c r="J2" s="36"/>
      <c r="K2" s="34"/>
      <c r="L2" s="43"/>
    </row>
    <row r="3" spans="1:19" ht="15.75" customHeight="1" x14ac:dyDescent="0.3">
      <c r="A3" s="43"/>
      <c r="B3" s="33"/>
      <c r="C3" s="35"/>
      <c r="D3" s="35"/>
      <c r="E3" s="35"/>
      <c r="F3" s="35"/>
      <c r="G3" s="35"/>
      <c r="H3" s="35"/>
      <c r="I3" s="35"/>
      <c r="J3" s="35"/>
      <c r="K3" s="34"/>
      <c r="L3" s="43"/>
    </row>
    <row r="4" spans="1:19" ht="13.8" customHeight="1" x14ac:dyDescent="0.3">
      <c r="A4" s="43"/>
      <c r="B4" s="33"/>
      <c r="C4" s="758" t="s">
        <v>571</v>
      </c>
      <c r="D4" s="758"/>
      <c r="E4" s="758"/>
      <c r="F4" s="758"/>
      <c r="G4" s="758"/>
      <c r="H4" s="758"/>
      <c r="I4" s="758"/>
      <c r="J4" s="758"/>
      <c r="K4" s="759"/>
      <c r="L4" s="43"/>
    </row>
    <row r="5" spans="1:19" ht="13.8" customHeight="1" x14ac:dyDescent="0.3">
      <c r="A5" s="43"/>
      <c r="B5" s="33"/>
      <c r="C5" s="758"/>
      <c r="D5" s="758"/>
      <c r="E5" s="758"/>
      <c r="F5" s="758"/>
      <c r="G5" s="758"/>
      <c r="H5" s="758"/>
      <c r="I5" s="758"/>
      <c r="J5" s="758"/>
      <c r="K5" s="759"/>
      <c r="L5" s="43"/>
    </row>
    <row r="6" spans="1:19" ht="13.8" customHeight="1" x14ac:dyDescent="0.3">
      <c r="A6" s="43"/>
      <c r="B6" s="33"/>
      <c r="C6" s="758"/>
      <c r="D6" s="758"/>
      <c r="E6" s="758"/>
      <c r="F6" s="758"/>
      <c r="G6" s="758"/>
      <c r="H6" s="758"/>
      <c r="I6" s="758"/>
      <c r="J6" s="758"/>
      <c r="K6" s="759"/>
      <c r="L6" s="43"/>
    </row>
    <row r="7" spans="1:19" ht="11.25" customHeight="1" x14ac:dyDescent="0.3">
      <c r="A7" s="43"/>
      <c r="B7" s="33"/>
      <c r="C7" s="761"/>
      <c r="D7" s="762"/>
      <c r="E7" s="762"/>
      <c r="F7" s="762"/>
      <c r="G7" s="762"/>
      <c r="H7" s="762"/>
      <c r="I7" s="35"/>
      <c r="J7" s="35"/>
      <c r="K7" s="34"/>
      <c r="L7" s="43"/>
    </row>
    <row r="8" spans="1:19" s="10" customFormat="1" ht="15.6" customHeight="1" x14ac:dyDescent="0.3">
      <c r="A8" s="44"/>
      <c r="B8" s="37"/>
      <c r="C8" s="758" t="s">
        <v>215</v>
      </c>
      <c r="D8" s="758"/>
      <c r="E8" s="758"/>
      <c r="F8" s="758"/>
      <c r="G8" s="758"/>
      <c r="H8" s="758"/>
      <c r="I8" s="38"/>
      <c r="J8" s="38"/>
      <c r="K8" s="39"/>
      <c r="L8" s="44"/>
      <c r="M8" s="44"/>
      <c r="N8" s="43"/>
      <c r="O8" s="44"/>
      <c r="P8" s="44"/>
      <c r="Q8" s="44"/>
      <c r="R8" s="44"/>
      <c r="S8" s="44"/>
    </row>
    <row r="9" spans="1:19" s="10" customFormat="1" ht="36" customHeight="1" x14ac:dyDescent="0.3">
      <c r="A9" s="44"/>
      <c r="B9" s="37"/>
      <c r="C9" s="760"/>
      <c r="D9" s="760"/>
      <c r="E9" s="760"/>
      <c r="F9" s="760"/>
      <c r="G9" s="760"/>
      <c r="H9" s="760"/>
      <c r="I9" s="38"/>
      <c r="J9" s="38"/>
      <c r="K9" s="39"/>
      <c r="L9" s="44"/>
      <c r="M9" s="44"/>
      <c r="N9" s="43"/>
      <c r="O9" s="44"/>
      <c r="P9" s="44"/>
      <c r="Q9" s="44"/>
      <c r="R9" s="44"/>
      <c r="S9" s="44"/>
    </row>
    <row r="10" spans="1:19" s="10" customFormat="1" ht="15" customHeight="1" thickBot="1" x14ac:dyDescent="0.35">
      <c r="A10" s="44"/>
      <c r="B10" s="37"/>
      <c r="C10" s="40"/>
      <c r="D10" s="12" t="s">
        <v>88</v>
      </c>
      <c r="E10" s="38"/>
      <c r="F10" s="38"/>
      <c r="G10" s="38"/>
      <c r="H10" s="38"/>
      <c r="I10" s="38"/>
      <c r="J10" s="38"/>
      <c r="K10" s="39"/>
      <c r="L10" s="44"/>
      <c r="M10" s="44"/>
      <c r="N10" s="43"/>
      <c r="O10" s="44"/>
      <c r="P10" s="44"/>
      <c r="Q10" s="44"/>
      <c r="R10" s="44"/>
      <c r="S10" s="44"/>
    </row>
    <row r="11" spans="1:19" s="10" customFormat="1" ht="15" customHeight="1" thickTop="1" x14ac:dyDescent="0.3">
      <c r="A11" s="44"/>
      <c r="B11" s="37"/>
      <c r="C11" s="38"/>
      <c r="D11" s="12" t="s">
        <v>89</v>
      </c>
      <c r="E11" s="38"/>
      <c r="F11" s="46"/>
      <c r="G11" s="21" t="s">
        <v>283</v>
      </c>
      <c r="H11" s="22"/>
      <c r="I11" s="22"/>
      <c r="J11" s="23"/>
      <c r="K11" s="39"/>
      <c r="L11" s="44"/>
      <c r="M11" s="44"/>
      <c r="N11" s="43"/>
      <c r="O11" s="44"/>
      <c r="P11" s="44"/>
      <c r="Q11" s="44"/>
      <c r="R11" s="44"/>
      <c r="S11" s="44"/>
    </row>
    <row r="12" spans="1:19" s="10" customFormat="1" ht="15" customHeight="1" x14ac:dyDescent="0.3">
      <c r="A12" s="44"/>
      <c r="B12" s="37"/>
      <c r="C12" s="38"/>
      <c r="D12" s="12" t="s">
        <v>275</v>
      </c>
      <c r="E12" s="38"/>
      <c r="F12" s="46"/>
      <c r="G12" s="24"/>
      <c r="H12" s="25"/>
      <c r="I12" s="25"/>
      <c r="J12" s="26"/>
      <c r="K12" s="39"/>
      <c r="L12" s="44"/>
      <c r="M12" s="44"/>
      <c r="N12" s="43"/>
      <c r="O12" s="44"/>
      <c r="P12" s="44"/>
      <c r="Q12" s="44"/>
      <c r="R12" s="44"/>
      <c r="S12" s="44"/>
    </row>
    <row r="13" spans="1:19" s="10" customFormat="1" ht="15" customHeight="1" x14ac:dyDescent="0.3">
      <c r="A13" s="44"/>
      <c r="B13" s="37"/>
      <c r="C13" s="38"/>
      <c r="D13" s="12" t="s">
        <v>106</v>
      </c>
      <c r="E13" s="38"/>
      <c r="F13" s="46"/>
      <c r="G13" s="24"/>
      <c r="H13" s="27" t="s">
        <v>564</v>
      </c>
      <c r="I13" s="28"/>
      <c r="J13" s="26"/>
      <c r="K13" s="39"/>
      <c r="L13" s="44"/>
      <c r="M13" s="44"/>
      <c r="N13" s="43"/>
      <c r="O13" s="44"/>
      <c r="P13" s="44"/>
      <c r="Q13" s="44"/>
      <c r="R13" s="44"/>
      <c r="S13" s="44"/>
    </row>
    <row r="14" spans="1:19" s="10" customFormat="1" ht="15" customHeight="1" x14ac:dyDescent="0.3">
      <c r="A14" s="44"/>
      <c r="B14" s="37"/>
      <c r="C14" s="12"/>
      <c r="D14" s="12" t="s">
        <v>303</v>
      </c>
      <c r="E14" s="38"/>
      <c r="F14" s="46"/>
      <c r="G14" s="24"/>
      <c r="H14" s="27" t="s">
        <v>565</v>
      </c>
      <c r="I14" s="29"/>
      <c r="J14" s="26"/>
      <c r="K14" s="39"/>
      <c r="L14" s="44"/>
      <c r="M14" s="44"/>
      <c r="N14" s="44"/>
      <c r="O14" s="44"/>
      <c r="P14" s="44"/>
      <c r="Q14" s="44"/>
      <c r="R14" s="44"/>
      <c r="S14" s="44"/>
    </row>
    <row r="15" spans="1:19" s="10" customFormat="1" ht="15" customHeight="1" thickBot="1" x14ac:dyDescent="0.35">
      <c r="A15" s="44"/>
      <c r="B15" s="37"/>
      <c r="C15" s="38"/>
      <c r="D15" s="12" t="s">
        <v>108</v>
      </c>
      <c r="E15" s="38"/>
      <c r="F15" s="46"/>
      <c r="G15" s="30"/>
      <c r="H15" s="31"/>
      <c r="I15" s="31"/>
      <c r="J15" s="32"/>
      <c r="K15" s="39"/>
      <c r="L15" s="44"/>
      <c r="M15" s="44"/>
      <c r="N15" s="44"/>
      <c r="O15" s="44"/>
      <c r="P15" s="44"/>
      <c r="Q15" s="44"/>
      <c r="R15" s="44"/>
      <c r="S15" s="44"/>
    </row>
    <row r="16" spans="1:19" s="10" customFormat="1" ht="15" customHeight="1" thickTop="1" x14ac:dyDescent="0.3">
      <c r="A16" s="44"/>
      <c r="B16" s="37"/>
      <c r="C16" s="38"/>
      <c r="D16" s="12" t="s">
        <v>109</v>
      </c>
      <c r="E16" s="38"/>
      <c r="F16" s="38"/>
      <c r="G16" s="38"/>
      <c r="H16" s="38"/>
      <c r="I16" s="38"/>
      <c r="J16" s="38"/>
      <c r="K16" s="39"/>
      <c r="L16" s="44"/>
      <c r="M16" s="44"/>
      <c r="N16" s="44"/>
      <c r="O16" s="44"/>
      <c r="P16" s="44"/>
      <c r="Q16" s="44"/>
      <c r="R16" s="44"/>
      <c r="S16" s="44"/>
    </row>
    <row r="17" spans="1:19" s="10" customFormat="1" ht="15" customHeight="1" x14ac:dyDescent="0.3">
      <c r="A17" s="44"/>
      <c r="B17" s="37"/>
      <c r="C17" s="38"/>
      <c r="D17" s="12" t="s">
        <v>110</v>
      </c>
      <c r="E17" s="38"/>
      <c r="F17" s="38"/>
      <c r="G17" s="38"/>
      <c r="H17" s="38"/>
      <c r="I17" s="38"/>
      <c r="J17" s="38"/>
      <c r="K17" s="39"/>
      <c r="L17" s="44"/>
      <c r="M17" s="44"/>
      <c r="N17" s="44"/>
      <c r="O17" s="44"/>
      <c r="P17" s="44"/>
      <c r="Q17" s="44"/>
      <c r="R17" s="44"/>
      <c r="S17" s="44"/>
    </row>
    <row r="18" spans="1:19" s="10" customFormat="1" ht="18" customHeight="1" x14ac:dyDescent="0.3">
      <c r="A18" s="44"/>
      <c r="B18" s="37"/>
      <c r="C18" s="38"/>
      <c r="D18" s="12" t="s">
        <v>282</v>
      </c>
      <c r="E18" s="38"/>
      <c r="F18" s="38"/>
      <c r="G18" s="38"/>
      <c r="H18" s="38"/>
      <c r="I18" s="38"/>
      <c r="J18" s="38"/>
      <c r="K18" s="39"/>
      <c r="L18" s="44"/>
      <c r="M18" s="44"/>
      <c r="N18" s="44"/>
      <c r="O18" s="44"/>
      <c r="P18" s="44"/>
      <c r="Q18" s="44"/>
      <c r="R18" s="44"/>
      <c r="S18" s="44"/>
    </row>
    <row r="19" spans="1:19" s="10" customFormat="1" ht="14.25" customHeight="1" x14ac:dyDescent="0.3">
      <c r="A19" s="44"/>
      <c r="B19" s="37"/>
      <c r="C19" s="38"/>
      <c r="D19" s="41"/>
      <c r="E19" s="38"/>
      <c r="F19" s="38"/>
      <c r="G19" s="38"/>
      <c r="H19" s="38"/>
      <c r="I19" s="38"/>
      <c r="J19" s="38"/>
      <c r="K19" s="39"/>
      <c r="L19" s="44"/>
      <c r="M19" s="44"/>
      <c r="N19" s="44"/>
      <c r="O19" s="44"/>
      <c r="P19" s="44"/>
      <c r="Q19" s="44"/>
      <c r="R19" s="44"/>
      <c r="S19" s="44"/>
    </row>
    <row r="20" spans="1:19" s="10" customFormat="1" ht="18" x14ac:dyDescent="0.3">
      <c r="A20" s="44"/>
      <c r="B20" s="37"/>
      <c r="C20" s="12" t="s">
        <v>593</v>
      </c>
      <c r="D20" s="12"/>
      <c r="E20" s="12"/>
      <c r="F20" s="12">
        <f>GWP_CH4_AR6</f>
        <v>27.9</v>
      </c>
      <c r="G20" s="12" t="s">
        <v>559</v>
      </c>
      <c r="H20" s="38"/>
      <c r="I20" s="38"/>
      <c r="J20" s="38"/>
      <c r="K20" s="39"/>
      <c r="L20" s="44"/>
      <c r="M20" s="44"/>
      <c r="N20" s="44"/>
      <c r="O20" s="44"/>
      <c r="P20" s="44"/>
      <c r="Q20" s="44"/>
      <c r="R20" s="44"/>
      <c r="S20" s="44"/>
    </row>
    <row r="21" spans="1:19" s="10" customFormat="1" ht="18" x14ac:dyDescent="0.3">
      <c r="A21" s="44"/>
      <c r="B21" s="37"/>
      <c r="C21" s="12"/>
      <c r="D21" s="12"/>
      <c r="E21" s="12"/>
      <c r="F21" s="12">
        <f>GWP_N2O_AR6</f>
        <v>273</v>
      </c>
      <c r="G21" s="12" t="s">
        <v>568</v>
      </c>
      <c r="H21" s="38"/>
      <c r="I21" s="38"/>
      <c r="J21" s="38"/>
      <c r="K21" s="39"/>
      <c r="L21" s="44"/>
      <c r="M21" s="44"/>
      <c r="N21" s="44"/>
      <c r="O21" s="44"/>
      <c r="P21" s="44"/>
      <c r="Q21" s="44"/>
      <c r="R21" s="44"/>
      <c r="S21" s="44"/>
    </row>
    <row r="22" spans="1:19" s="10" customFormat="1" ht="14.25" customHeight="1" x14ac:dyDescent="0.3">
      <c r="A22" s="44"/>
      <c r="B22" s="37"/>
      <c r="C22" s="38"/>
      <c r="D22" s="41"/>
      <c r="E22" s="38"/>
      <c r="F22" s="38"/>
      <c r="G22" s="38"/>
      <c r="H22" s="38"/>
      <c r="I22" s="38"/>
      <c r="J22" s="38"/>
      <c r="K22" s="39"/>
      <c r="L22" s="44"/>
      <c r="M22" s="44"/>
      <c r="N22" s="44"/>
      <c r="O22" s="44"/>
      <c r="P22" s="44"/>
      <c r="Q22" s="44"/>
      <c r="R22" s="44"/>
      <c r="S22" s="44"/>
    </row>
    <row r="23" spans="1:19" s="10" customFormat="1" ht="140.4" customHeight="1" x14ac:dyDescent="0.3">
      <c r="A23" s="44"/>
      <c r="B23" s="37"/>
      <c r="C23" s="758" t="s">
        <v>569</v>
      </c>
      <c r="D23" s="758"/>
      <c r="E23" s="758"/>
      <c r="F23" s="758"/>
      <c r="G23" s="758"/>
      <c r="H23" s="758"/>
      <c r="I23" s="20"/>
      <c r="J23" s="20"/>
      <c r="K23" s="39"/>
      <c r="L23" s="44"/>
      <c r="M23" s="44"/>
      <c r="N23" s="44"/>
      <c r="O23" s="113"/>
      <c r="P23" s="44"/>
      <c r="Q23" s="44"/>
      <c r="R23" s="44"/>
      <c r="S23" s="44"/>
    </row>
    <row r="24" spans="1:19" s="10" customFormat="1" ht="14.25" customHeight="1" x14ac:dyDescent="0.3">
      <c r="A24" s="44"/>
      <c r="B24" s="37"/>
      <c r="C24" s="38"/>
      <c r="D24" s="41"/>
      <c r="E24" s="38"/>
      <c r="F24" s="38"/>
      <c r="G24" s="38"/>
      <c r="H24" s="38"/>
      <c r="I24" s="38"/>
      <c r="J24" s="38"/>
      <c r="K24" s="39"/>
      <c r="L24" s="44"/>
      <c r="M24" s="44"/>
      <c r="N24" s="44"/>
      <c r="O24" s="113"/>
      <c r="P24" s="44"/>
      <c r="Q24" s="44"/>
      <c r="R24" s="44"/>
      <c r="S24" s="44"/>
    </row>
    <row r="25" spans="1:19" s="10" customFormat="1" ht="36.6" customHeight="1" x14ac:dyDescent="0.3">
      <c r="A25" s="44"/>
      <c r="B25" s="37"/>
      <c r="C25" s="754" t="s">
        <v>560</v>
      </c>
      <c r="D25" s="754"/>
      <c r="E25" s="754"/>
      <c r="F25" s="754"/>
      <c r="G25" s="754"/>
      <c r="H25" s="754"/>
      <c r="I25" s="19"/>
      <c r="J25" s="19"/>
      <c r="K25" s="39"/>
      <c r="L25" s="44"/>
      <c r="M25" s="44"/>
      <c r="N25" s="44"/>
      <c r="O25" s="113"/>
      <c r="P25" s="44"/>
      <c r="Q25" s="44"/>
      <c r="R25" s="44"/>
      <c r="S25" s="44"/>
    </row>
    <row r="26" spans="1:19" s="10" customFormat="1" ht="14.25" customHeight="1" x14ac:dyDescent="0.3">
      <c r="A26" s="44"/>
      <c r="B26" s="37"/>
      <c r="C26" s="38"/>
      <c r="D26" s="41"/>
      <c r="E26" s="38"/>
      <c r="F26" s="38"/>
      <c r="G26" s="38"/>
      <c r="H26" s="38"/>
      <c r="I26" s="38"/>
      <c r="J26" s="38"/>
      <c r="K26" s="39"/>
      <c r="L26" s="44"/>
      <c r="M26" s="44"/>
      <c r="N26" s="44"/>
      <c r="O26" s="113"/>
      <c r="P26" s="44"/>
      <c r="Q26" s="44"/>
      <c r="R26" s="44"/>
      <c r="S26" s="44"/>
    </row>
    <row r="27" spans="1:19" s="10" customFormat="1" ht="53.25" customHeight="1" x14ac:dyDescent="0.3">
      <c r="A27" s="44"/>
      <c r="B27" s="37"/>
      <c r="C27" s="18" t="s">
        <v>272</v>
      </c>
      <c r="D27" s="754" t="s">
        <v>561</v>
      </c>
      <c r="E27" s="754"/>
      <c r="F27" s="754"/>
      <c r="G27" s="754"/>
      <c r="H27" s="754"/>
      <c r="I27" s="754"/>
      <c r="J27" s="19"/>
      <c r="K27" s="39"/>
      <c r="L27" s="44"/>
      <c r="M27" s="44"/>
      <c r="N27" s="44"/>
      <c r="O27" s="113"/>
      <c r="P27" s="44"/>
      <c r="Q27" s="44"/>
      <c r="R27" s="44"/>
      <c r="S27" s="44"/>
    </row>
    <row r="28" spans="1:19" s="10" customFormat="1" ht="54.75" customHeight="1" x14ac:dyDescent="0.3">
      <c r="A28" s="44"/>
      <c r="B28" s="13"/>
      <c r="C28" s="18" t="s">
        <v>273</v>
      </c>
      <c r="D28" s="754" t="s">
        <v>562</v>
      </c>
      <c r="E28" s="754"/>
      <c r="F28" s="754"/>
      <c r="G28" s="754"/>
      <c r="H28" s="754"/>
      <c r="I28" s="754"/>
      <c r="J28" s="19"/>
      <c r="K28" s="39"/>
      <c r="L28" s="44"/>
      <c r="M28" s="44"/>
      <c r="N28" s="44"/>
      <c r="O28" s="113"/>
      <c r="P28" s="44"/>
      <c r="Q28" s="44"/>
      <c r="R28" s="44"/>
      <c r="S28" s="44"/>
    </row>
    <row r="29" spans="1:19" ht="168.75" customHeight="1" x14ac:dyDescent="0.3">
      <c r="A29" s="43"/>
      <c r="B29" s="13"/>
      <c r="C29" s="18" t="s">
        <v>274</v>
      </c>
      <c r="D29" s="754" t="s">
        <v>563</v>
      </c>
      <c r="E29" s="754"/>
      <c r="F29" s="754"/>
      <c r="G29" s="754"/>
      <c r="H29" s="754"/>
      <c r="I29" s="754"/>
      <c r="J29" s="19"/>
      <c r="K29" s="34"/>
      <c r="L29" s="43"/>
      <c r="O29" s="113"/>
    </row>
    <row r="30" spans="1:19" ht="13.5" customHeight="1" thickBot="1" x14ac:dyDescent="0.35">
      <c r="A30" s="43"/>
      <c r="B30" s="14"/>
      <c r="C30" s="15"/>
      <c r="D30" s="15"/>
      <c r="E30" s="15"/>
      <c r="F30" s="15"/>
      <c r="G30" s="15"/>
      <c r="H30" s="15"/>
      <c r="I30" s="15"/>
      <c r="J30" s="15"/>
      <c r="K30" s="16"/>
      <c r="L30" s="45"/>
      <c r="O30" s="114"/>
    </row>
    <row r="31" spans="1:19" ht="13.5" customHeight="1" x14ac:dyDescent="0.3">
      <c r="A31" s="43"/>
      <c r="B31" s="43"/>
      <c r="C31" s="45"/>
      <c r="D31" s="45"/>
      <c r="E31" s="45"/>
      <c r="F31" s="45"/>
      <c r="G31" s="45"/>
      <c r="H31" s="45"/>
      <c r="I31" s="45"/>
      <c r="J31" s="45"/>
      <c r="K31" s="43"/>
      <c r="L31" s="43"/>
    </row>
    <row r="32" spans="1:19" ht="13.5" customHeight="1" x14ac:dyDescent="0.3">
      <c r="C32" s="11"/>
      <c r="D32" s="11"/>
      <c r="E32" s="11"/>
      <c r="F32" s="11"/>
      <c r="G32" s="11"/>
      <c r="H32" s="11"/>
      <c r="I32" s="11"/>
      <c r="J32" s="11"/>
    </row>
    <row r="33" spans="3:10" ht="13.5" customHeight="1" x14ac:dyDescent="0.3">
      <c r="C33" s="11"/>
      <c r="D33" s="11"/>
      <c r="E33" s="11"/>
      <c r="F33" s="11"/>
      <c r="G33" s="11"/>
      <c r="H33" s="11"/>
      <c r="I33" s="11"/>
      <c r="J33" s="11"/>
    </row>
    <row r="34" spans="3:10" ht="14.25" customHeight="1" x14ac:dyDescent="0.3">
      <c r="C34" s="11"/>
      <c r="D34" s="11"/>
      <c r="E34" s="11"/>
      <c r="F34" s="11"/>
      <c r="G34" s="11"/>
      <c r="H34" s="11"/>
      <c r="I34" s="11"/>
      <c r="J34" s="11"/>
    </row>
  </sheetData>
  <customSheetViews>
    <customSheetView guid="{E748B311-90F6-4A4B-A4FB-821E74008EC3}" scale="75" showPageBreaks="1" fitToPage="1" printArea="1" showRuler="0">
      <selection activeCell="K1" sqref="K1"/>
      <pageMargins left="0.75" right="0.75" top="1" bottom="1" header="0.5" footer="0.5"/>
      <pageSetup paperSize="9" scale="70" orientation="portrait" r:id="rId1"/>
      <headerFooter alignWithMargins="0"/>
    </customSheetView>
  </customSheetViews>
  <mergeCells count="10">
    <mergeCell ref="D27:I27"/>
    <mergeCell ref="D28:I28"/>
    <mergeCell ref="D29:I29"/>
    <mergeCell ref="C25:H25"/>
    <mergeCell ref="B1:K1"/>
    <mergeCell ref="C4:K6"/>
    <mergeCell ref="C8:H9"/>
    <mergeCell ref="C7:H7"/>
    <mergeCell ref="C2:I2"/>
    <mergeCell ref="C23:H23"/>
  </mergeCells>
  <phoneticPr fontId="26" type="noConversion"/>
  <pageMargins left="0.75" right="0.75" top="1" bottom="1" header="0.5" footer="0.5"/>
  <pageSetup scale="69" orientation="portrait" r:id="rId2"/>
  <headerFooter alignWithMargins="0">
    <oddHeader>&amp;L&amp;D&amp;R&amp;F</oddHeader>
  </headerFooter>
  <ignoredErrors>
    <ignoredError sqref="C27:C29"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pageSetUpPr fitToPage="1"/>
  </sheetPr>
  <dimension ref="B1:J38"/>
  <sheetViews>
    <sheetView zoomScale="75" workbookViewId="0"/>
  </sheetViews>
  <sheetFormatPr defaultColWidth="9.109375" defaultRowHeight="13.8" x14ac:dyDescent="0.3"/>
  <cols>
    <col min="1" max="1" width="7.33203125" style="586" customWidth="1"/>
    <col min="2" max="2" width="4.5546875" style="586" customWidth="1"/>
    <col min="3" max="3" width="9.44140625" style="589" customWidth="1"/>
    <col min="4" max="4" width="51.109375" style="589" customWidth="1"/>
    <col min="5" max="5" width="4.109375" style="589" customWidth="1"/>
    <col min="6" max="6" width="19.33203125" style="590" customWidth="1"/>
    <col min="7" max="7" width="18.5546875" style="591" customWidth="1"/>
    <col min="8" max="8" width="19" style="586" customWidth="1"/>
    <col min="9" max="9" width="20.5546875" style="586" customWidth="1"/>
    <col min="10" max="16384" width="9.109375" style="586"/>
  </cols>
  <sheetData>
    <row r="1" spans="2:10" ht="23.4" x14ac:dyDescent="0.3">
      <c r="C1" s="587" t="s">
        <v>105</v>
      </c>
      <c r="D1" s="588"/>
    </row>
    <row r="2" spans="2:10" ht="14.4" thickBot="1" x14ac:dyDescent="0.35"/>
    <row r="3" spans="2:10" ht="40.5" customHeight="1" thickTop="1" x14ac:dyDescent="0.3">
      <c r="B3" s="592"/>
      <c r="C3" s="593" t="s">
        <v>105</v>
      </c>
      <c r="D3" s="593"/>
      <c r="E3" s="594"/>
      <c r="F3" s="595"/>
      <c r="G3" s="595"/>
      <c r="H3" s="595"/>
      <c r="I3" s="596"/>
      <c r="J3" s="597"/>
    </row>
    <row r="4" spans="2:10" ht="15.6" x14ac:dyDescent="0.3">
      <c r="B4" s="598"/>
      <c r="C4" s="870" t="s">
        <v>103</v>
      </c>
      <c r="D4" s="871"/>
      <c r="E4" s="622"/>
      <c r="F4" s="872" t="str">
        <f>IF('Operations in Inventory'!F8="","",'Operations in Inventory'!F8)</f>
        <v/>
      </c>
      <c r="G4" s="873"/>
      <c r="H4" s="873"/>
      <c r="I4" s="874"/>
      <c r="J4" s="599"/>
    </row>
    <row r="5" spans="2:10" ht="15.6" x14ac:dyDescent="0.3">
      <c r="B5" s="598"/>
      <c r="C5" s="600"/>
      <c r="D5" s="600"/>
      <c r="E5" s="600"/>
      <c r="F5" s="601"/>
      <c r="G5" s="601"/>
      <c r="H5" s="601"/>
      <c r="I5" s="190"/>
      <c r="J5" s="599"/>
    </row>
    <row r="6" spans="2:10" ht="72.75" customHeight="1" x14ac:dyDescent="0.3">
      <c r="B6" s="598"/>
      <c r="C6" s="866" t="s">
        <v>104</v>
      </c>
      <c r="D6" s="867"/>
      <c r="E6" s="623"/>
      <c r="F6" s="872" t="str">
        <f>IF('Operations in Inventory'!F10="","",'Operations in Inventory'!F10)</f>
        <v/>
      </c>
      <c r="G6" s="873"/>
      <c r="H6" s="873"/>
      <c r="I6" s="874"/>
      <c r="J6" s="599"/>
    </row>
    <row r="7" spans="2:10" ht="15.75" customHeight="1" thickBot="1" x14ac:dyDescent="0.35">
      <c r="B7" s="598"/>
      <c r="C7" s="602"/>
      <c r="D7" s="602"/>
      <c r="E7" s="602"/>
      <c r="F7" s="190"/>
      <c r="G7" s="190"/>
      <c r="H7" s="190"/>
      <c r="I7" s="603"/>
      <c r="J7" s="599"/>
    </row>
    <row r="8" spans="2:10" ht="77.25" customHeight="1" thickTop="1" x14ac:dyDescent="0.3">
      <c r="B8" s="592"/>
      <c r="C8" s="593" t="s">
        <v>289</v>
      </c>
      <c r="D8" s="593"/>
      <c r="E8" s="604"/>
      <c r="F8" s="605" t="s">
        <v>691</v>
      </c>
      <c r="G8" s="606" t="s">
        <v>692</v>
      </c>
      <c r="H8" s="606" t="s">
        <v>693</v>
      </c>
      <c r="I8" s="606" t="s">
        <v>694</v>
      </c>
      <c r="J8" s="597"/>
    </row>
    <row r="9" spans="2:10" ht="51" customHeight="1" x14ac:dyDescent="0.3">
      <c r="B9" s="598"/>
      <c r="C9" s="866" t="s">
        <v>262</v>
      </c>
      <c r="D9" s="867"/>
      <c r="E9" s="621"/>
      <c r="F9" s="618">
        <f>'Direct - Fuel Combust.'!I35</f>
        <v>0</v>
      </c>
      <c r="G9" s="619">
        <f>'Direct - Fuel Combust.'!J35</f>
        <v>0</v>
      </c>
      <c r="H9" s="619">
        <f>'Direct - Fuel Combust.'!K35</f>
        <v>0</v>
      </c>
      <c r="I9" s="620">
        <f>F9+G9*GWP_CH4+H9*GWP_N2O</f>
        <v>0</v>
      </c>
      <c r="J9" s="599"/>
    </row>
    <row r="10" spans="2:10" ht="18" customHeight="1" x14ac:dyDescent="0.3">
      <c r="B10" s="598"/>
      <c r="C10" s="602"/>
      <c r="D10" s="602"/>
      <c r="E10" s="602"/>
      <c r="F10" s="607"/>
      <c r="G10" s="607"/>
      <c r="H10" s="607"/>
      <c r="I10" s="603"/>
      <c r="J10" s="599"/>
    </row>
    <row r="11" spans="2:10" ht="64.5" customHeight="1" x14ac:dyDescent="0.3">
      <c r="B11" s="598"/>
      <c r="C11" s="602"/>
      <c r="D11" s="625" t="s">
        <v>263</v>
      </c>
      <c r="E11" s="623"/>
      <c r="F11" s="624">
        <f>'Indirect - Energy Exports'!I33</f>
        <v>0</v>
      </c>
      <c r="G11" s="619">
        <f>'Indirect - Energy Exports'!J33</f>
        <v>0</v>
      </c>
      <c r="H11" s="619">
        <f>'Indirect - Energy Exports'!K33</f>
        <v>0</v>
      </c>
      <c r="I11" s="620">
        <f>F11+G11*GWP_CH4+H11*GWP_N2O</f>
        <v>0</v>
      </c>
      <c r="J11" s="599"/>
    </row>
    <row r="12" spans="2:10" ht="15.6" x14ac:dyDescent="0.3">
      <c r="B12" s="598"/>
      <c r="C12" s="600"/>
      <c r="D12" s="600"/>
      <c r="E12" s="600"/>
      <c r="F12" s="601"/>
      <c r="G12" s="601"/>
      <c r="H12" s="601"/>
      <c r="I12" s="190"/>
      <c r="J12" s="599"/>
    </row>
    <row r="13" spans="2:10" ht="51" customHeight="1" x14ac:dyDescent="0.3">
      <c r="B13" s="598"/>
      <c r="C13" s="866" t="s">
        <v>264</v>
      </c>
      <c r="D13" s="867"/>
      <c r="E13" s="621"/>
      <c r="F13" s="618">
        <f>'Mobile &amp; Transportation'!I107</f>
        <v>0</v>
      </c>
      <c r="G13" s="619">
        <f>'Mobile &amp; Transportation'!J107</f>
        <v>0</v>
      </c>
      <c r="H13" s="619">
        <f>'Mobile &amp; Transportation'!K107</f>
        <v>0</v>
      </c>
      <c r="I13" s="620">
        <f>F13+G13*GWP_CH4+H13*GWP_N2O</f>
        <v>0</v>
      </c>
      <c r="J13" s="599"/>
    </row>
    <row r="14" spans="2:10" ht="15.6" x14ac:dyDescent="0.3">
      <c r="B14" s="598"/>
      <c r="C14" s="602"/>
      <c r="D14" s="602"/>
      <c r="E14" s="602"/>
      <c r="F14" s="603"/>
      <c r="G14" s="603"/>
      <c r="H14" s="603"/>
      <c r="I14" s="603"/>
      <c r="J14" s="599"/>
    </row>
    <row r="15" spans="2:10" ht="53.25" customHeight="1" x14ac:dyDescent="0.3">
      <c r="B15" s="598"/>
      <c r="C15" s="866" t="s">
        <v>265</v>
      </c>
      <c r="D15" s="868"/>
      <c r="E15" s="623"/>
      <c r="F15" s="607" t="s">
        <v>266</v>
      </c>
      <c r="G15" s="619">
        <f>'Waste Mngmt.'!Q46+'Waste Mngmt.'!J157</f>
        <v>0</v>
      </c>
      <c r="H15" s="607" t="s">
        <v>266</v>
      </c>
      <c r="I15" s="618">
        <f>G15*GWP_CH4</f>
        <v>0</v>
      </c>
      <c r="J15" s="599"/>
    </row>
    <row r="16" spans="2:10" ht="18" customHeight="1" x14ac:dyDescent="0.3">
      <c r="B16" s="598"/>
      <c r="C16" s="602"/>
      <c r="D16" s="602"/>
      <c r="E16" s="602"/>
      <c r="F16" s="190"/>
      <c r="G16" s="190"/>
      <c r="H16" s="190"/>
      <c r="I16" s="603"/>
      <c r="J16" s="599"/>
    </row>
    <row r="17" spans="2:10" ht="43.5" customHeight="1" x14ac:dyDescent="0.3">
      <c r="B17" s="598"/>
      <c r="C17" s="866" t="s">
        <v>267</v>
      </c>
      <c r="D17" s="868"/>
      <c r="E17" s="623"/>
      <c r="F17" s="624">
        <f>F9+F13</f>
        <v>0</v>
      </c>
      <c r="G17" s="619">
        <f>G9+G13+G15</f>
        <v>0</v>
      </c>
      <c r="H17" s="619">
        <f>H9+H13</f>
        <v>0</v>
      </c>
      <c r="I17" s="618">
        <f>F17+G17*GWP_CH4+H17*GWP_N2O</f>
        <v>0</v>
      </c>
      <c r="J17" s="599"/>
    </row>
    <row r="18" spans="2:10" ht="20.25" customHeight="1" thickBot="1" x14ac:dyDescent="0.35">
      <c r="B18" s="608"/>
      <c r="C18" s="609"/>
      <c r="D18" s="609"/>
      <c r="E18" s="609"/>
      <c r="F18" s="610"/>
      <c r="G18" s="610"/>
      <c r="H18" s="610"/>
      <c r="I18" s="611"/>
      <c r="J18" s="612"/>
    </row>
    <row r="19" spans="2:10" ht="37.5" customHeight="1" thickTop="1" x14ac:dyDescent="0.3">
      <c r="B19" s="598"/>
      <c r="C19" s="869" t="s">
        <v>290</v>
      </c>
      <c r="D19" s="869"/>
      <c r="E19" s="594"/>
      <c r="F19" s="605" t="s">
        <v>691</v>
      </c>
      <c r="G19" s="606" t="s">
        <v>692</v>
      </c>
      <c r="H19" s="606" t="s">
        <v>693</v>
      </c>
      <c r="I19" s="606" t="s">
        <v>694</v>
      </c>
      <c r="J19" s="599"/>
    </row>
    <row r="20" spans="2:10" ht="54.75" customHeight="1" x14ac:dyDescent="0.3">
      <c r="B20" s="598"/>
      <c r="C20" s="866" t="s">
        <v>268</v>
      </c>
      <c r="D20" s="868"/>
      <c r="E20" s="623"/>
      <c r="F20" s="624">
        <f>'Indirect - Energy Imports'!H29</f>
        <v>0</v>
      </c>
      <c r="G20" s="619">
        <f>'Indirect - Energy Imports'!I29</f>
        <v>0</v>
      </c>
      <c r="H20" s="619">
        <f>'Indirect - Energy Imports'!J29</f>
        <v>0</v>
      </c>
      <c r="I20" s="618">
        <f>F20+G20*GWP_CH4+H20*GWP_N2O</f>
        <v>0</v>
      </c>
      <c r="J20" s="599"/>
    </row>
    <row r="21" spans="2:10" ht="15.6" x14ac:dyDescent="0.3">
      <c r="B21" s="598"/>
      <c r="C21" s="602"/>
      <c r="D21" s="602"/>
      <c r="E21" s="602"/>
      <c r="F21" s="603"/>
      <c r="G21" s="603"/>
      <c r="H21" s="603"/>
      <c r="I21" s="603"/>
      <c r="J21" s="599"/>
    </row>
    <row r="22" spans="2:10" ht="51" customHeight="1" x14ac:dyDescent="0.3">
      <c r="B22" s="598"/>
      <c r="C22" s="866" t="s">
        <v>269</v>
      </c>
      <c r="D22" s="867"/>
      <c r="E22" s="623"/>
      <c r="F22" s="618">
        <f>'Mobile &amp; Transportation'!L107</f>
        <v>0</v>
      </c>
      <c r="G22" s="619">
        <f>'Mobile &amp; Transportation'!M107</f>
        <v>0</v>
      </c>
      <c r="H22" s="619">
        <f>'Mobile &amp; Transportation'!N107</f>
        <v>0</v>
      </c>
      <c r="I22" s="618">
        <f>F22+G22*GWP_CH4+H22*GWP_N2O</f>
        <v>0</v>
      </c>
      <c r="J22" s="599"/>
    </row>
    <row r="23" spans="2:10" ht="15.6" x14ac:dyDescent="0.3">
      <c r="B23" s="598"/>
      <c r="C23" s="602"/>
      <c r="D23" s="602"/>
      <c r="E23" s="602"/>
      <c r="F23" s="603"/>
      <c r="G23" s="603"/>
      <c r="H23" s="603"/>
      <c r="I23" s="603"/>
      <c r="J23" s="599"/>
    </row>
    <row r="24" spans="2:10" ht="53.25" customHeight="1" x14ac:dyDescent="0.3">
      <c r="B24" s="598"/>
      <c r="C24" s="866" t="s">
        <v>270</v>
      </c>
      <c r="D24" s="868"/>
      <c r="E24" s="623"/>
      <c r="F24" s="607" t="s">
        <v>266</v>
      </c>
      <c r="G24" s="619">
        <f>'Waste Mngmt.'!R46+'Waste Mngmt.'!K157</f>
        <v>0</v>
      </c>
      <c r="H24" s="607" t="s">
        <v>266</v>
      </c>
      <c r="I24" s="618">
        <f>G24*GWP_CH4</f>
        <v>0</v>
      </c>
      <c r="J24" s="599"/>
    </row>
    <row r="25" spans="2:10" ht="18" customHeight="1" x14ac:dyDescent="0.3">
      <c r="B25" s="598"/>
      <c r="C25" s="602"/>
      <c r="D25" s="602"/>
      <c r="E25" s="602"/>
      <c r="F25" s="190"/>
      <c r="G25" s="190"/>
      <c r="H25" s="190"/>
      <c r="I25" s="603"/>
      <c r="J25" s="599"/>
    </row>
    <row r="26" spans="2:10" ht="43.5" customHeight="1" x14ac:dyDescent="0.3">
      <c r="B26" s="598"/>
      <c r="C26" s="866" t="s">
        <v>271</v>
      </c>
      <c r="D26" s="868"/>
      <c r="E26" s="623"/>
      <c r="F26" s="624">
        <f>F20+F22</f>
        <v>0</v>
      </c>
      <c r="G26" s="619">
        <f>G20+G22+G24</f>
        <v>0</v>
      </c>
      <c r="H26" s="619">
        <f>H20+H22</f>
        <v>0</v>
      </c>
      <c r="I26" s="618">
        <f>F26+G26*GWP_CH4+H26*GWP_N2O</f>
        <v>0</v>
      </c>
      <c r="J26" s="599"/>
    </row>
    <row r="27" spans="2:10" ht="16.5" customHeight="1" thickBot="1" x14ac:dyDescent="0.35">
      <c r="B27" s="608"/>
      <c r="C27" s="609"/>
      <c r="D27" s="609"/>
      <c r="E27" s="609"/>
      <c r="F27" s="613"/>
      <c r="G27" s="613"/>
      <c r="H27" s="613"/>
      <c r="I27" s="611"/>
      <c r="J27" s="612"/>
    </row>
    <row r="28" spans="2:10" ht="16.2" thickTop="1" x14ac:dyDescent="0.3">
      <c r="C28" s="614"/>
      <c r="D28" s="614"/>
      <c r="E28" s="614"/>
      <c r="F28" s="615"/>
    </row>
    <row r="29" spans="2:10" ht="16.2" thickBot="1" x14ac:dyDescent="0.35">
      <c r="C29" s="614"/>
      <c r="D29" s="614"/>
      <c r="E29" s="614"/>
      <c r="F29" s="615"/>
    </row>
    <row r="30" spans="2:10" ht="48.75" customHeight="1" thickTop="1" x14ac:dyDescent="0.3">
      <c r="B30" s="592"/>
      <c r="C30" s="869" t="s">
        <v>695</v>
      </c>
      <c r="D30" s="869"/>
      <c r="E30" s="593"/>
      <c r="F30" s="605" t="s">
        <v>691</v>
      </c>
      <c r="G30" s="606"/>
      <c r="H30" s="606"/>
      <c r="I30" s="606" t="s">
        <v>694</v>
      </c>
      <c r="J30" s="597"/>
    </row>
    <row r="31" spans="2:10" ht="65.25" customHeight="1" x14ac:dyDescent="0.3">
      <c r="B31" s="598"/>
      <c r="C31" s="866" t="s">
        <v>696</v>
      </c>
      <c r="D31" s="868"/>
      <c r="E31" s="623"/>
      <c r="F31" s="624">
        <f>'Biomass Combustion CO2'!J33</f>
        <v>0</v>
      </c>
      <c r="G31" s="190" t="s">
        <v>266</v>
      </c>
      <c r="H31" s="190" t="s">
        <v>266</v>
      </c>
      <c r="I31" s="607" t="s">
        <v>266</v>
      </c>
      <c r="J31" s="599"/>
    </row>
    <row r="32" spans="2:10" ht="15.75" customHeight="1" thickBot="1" x14ac:dyDescent="0.35">
      <c r="B32" s="608"/>
      <c r="C32" s="616"/>
      <c r="D32" s="616"/>
      <c r="E32" s="616"/>
      <c r="F32" s="617"/>
      <c r="G32" s="617"/>
      <c r="H32" s="617"/>
      <c r="I32" s="611"/>
      <c r="J32" s="612"/>
    </row>
    <row r="33" spans="3:6" ht="16.2" thickTop="1" x14ac:dyDescent="0.3">
      <c r="C33" s="614"/>
      <c r="D33" s="614"/>
      <c r="E33" s="614"/>
      <c r="F33" s="615"/>
    </row>
    <row r="34" spans="3:6" ht="15.6" x14ac:dyDescent="0.3">
      <c r="C34" s="614"/>
      <c r="D34" s="614"/>
      <c r="E34" s="614"/>
      <c r="F34" s="615"/>
    </row>
    <row r="35" spans="3:6" ht="15.6" x14ac:dyDescent="0.3">
      <c r="C35" s="614"/>
      <c r="D35" s="614"/>
      <c r="E35" s="614"/>
      <c r="F35" s="615"/>
    </row>
    <row r="36" spans="3:6" ht="15.6" x14ac:dyDescent="0.3">
      <c r="C36" s="614"/>
      <c r="D36" s="614"/>
      <c r="E36" s="614"/>
      <c r="F36" s="615"/>
    </row>
    <row r="37" spans="3:6" ht="15.6" x14ac:dyDescent="0.3">
      <c r="C37" s="614"/>
      <c r="D37" s="614"/>
      <c r="E37" s="614"/>
      <c r="F37" s="615"/>
    </row>
    <row r="38" spans="3:6" ht="15.6" x14ac:dyDescent="0.3">
      <c r="C38" s="614"/>
      <c r="D38" s="614"/>
      <c r="E38" s="614"/>
      <c r="F38" s="615"/>
    </row>
  </sheetData>
  <mergeCells count="15">
    <mergeCell ref="C4:D4"/>
    <mergeCell ref="C6:D6"/>
    <mergeCell ref="C9:D9"/>
    <mergeCell ref="F4:I4"/>
    <mergeCell ref="F6:I6"/>
    <mergeCell ref="C13:D13"/>
    <mergeCell ref="C15:D15"/>
    <mergeCell ref="C30:D30"/>
    <mergeCell ref="C31:D31"/>
    <mergeCell ref="C26:D26"/>
    <mergeCell ref="C17:D17"/>
    <mergeCell ref="C20:D20"/>
    <mergeCell ref="C19:D19"/>
    <mergeCell ref="C22:D22"/>
    <mergeCell ref="C24:D24"/>
  </mergeCells>
  <phoneticPr fontId="26" type="noConversion"/>
  <printOptions horizontalCentered="1"/>
  <pageMargins left="0.75" right="0.75" top="1" bottom="1" header="0.5" footer="0.5"/>
  <pageSetup scale="58" orientation="portrait" verticalDpi="300" r:id="rId1"/>
  <headerFooter alignWithMargins="0">
    <oddHeader>&amp;L
&amp;F&amp;R&amp;D</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1:I40"/>
  <sheetViews>
    <sheetView zoomScale="75" zoomScaleNormal="75" workbookViewId="0"/>
  </sheetViews>
  <sheetFormatPr defaultColWidth="9.6640625" defaultRowHeight="13.8" x14ac:dyDescent="0.3"/>
  <cols>
    <col min="1" max="1" width="9.109375" style="92" customWidth="1"/>
    <col min="2" max="2" width="3.88671875" style="92" customWidth="1"/>
    <col min="3" max="3" width="23" style="92" customWidth="1"/>
    <col min="4" max="4" width="20.6640625" style="92" customWidth="1"/>
    <col min="5" max="5" width="21.6640625" style="92" customWidth="1"/>
    <col min="6" max="6" width="22" style="92" customWidth="1"/>
    <col min="7" max="7" width="4.88671875" style="92" customWidth="1"/>
    <col min="8" max="8" width="14.6640625" style="92" customWidth="1"/>
    <col min="9" max="9" width="15.6640625" style="92" customWidth="1"/>
    <col min="10" max="16384" width="9.6640625" style="92"/>
  </cols>
  <sheetData>
    <row r="1" spans="2:7" s="96" customFormat="1" ht="15.6" x14ac:dyDescent="0.3"/>
    <row r="2" spans="2:7" s="96" customFormat="1" ht="18" customHeight="1" x14ac:dyDescent="0.35">
      <c r="C2" s="95" t="s">
        <v>492</v>
      </c>
    </row>
    <row r="3" spans="2:7" s="96" customFormat="1" ht="18" customHeight="1" x14ac:dyDescent="0.35">
      <c r="C3" s="95" t="s">
        <v>497</v>
      </c>
    </row>
    <row r="4" spans="2:7" s="96" customFormat="1" ht="18" customHeight="1" thickBot="1" x14ac:dyDescent="0.35"/>
    <row r="5" spans="2:7" s="96" customFormat="1" ht="25.5" customHeight="1" thickTop="1" x14ac:dyDescent="0.35">
      <c r="B5" s="98" t="s">
        <v>283</v>
      </c>
      <c r="C5" s="118"/>
      <c r="D5" s="100"/>
      <c r="E5" s="118"/>
      <c r="F5" s="118"/>
      <c r="G5" s="102"/>
    </row>
    <row r="6" spans="2:7" s="96" customFormat="1" ht="15.6" x14ac:dyDescent="0.3">
      <c r="B6" s="554"/>
      <c r="C6" s="35"/>
      <c r="D6" s="215" t="s">
        <v>564</v>
      </c>
      <c r="E6" s="28"/>
      <c r="F6" s="103"/>
      <c r="G6" s="104"/>
    </row>
    <row r="7" spans="2:7" s="96" customFormat="1" ht="15.6" x14ac:dyDescent="0.3">
      <c r="B7" s="119"/>
      <c r="C7" s="35"/>
      <c r="D7" s="215" t="s">
        <v>565</v>
      </c>
      <c r="E7" s="29"/>
      <c r="F7" s="555"/>
      <c r="G7" s="104"/>
    </row>
    <row r="8" spans="2:7" s="96" customFormat="1" ht="19.5" customHeight="1" thickBot="1" x14ac:dyDescent="0.35">
      <c r="B8" s="169"/>
      <c r="C8" s="97"/>
      <c r="D8" s="97"/>
      <c r="E8" s="97"/>
      <c r="F8" s="97"/>
      <c r="G8" s="111"/>
    </row>
    <row r="9" spans="2:7" s="35" customFormat="1" ht="20.100000000000001" customHeight="1" thickTop="1" thickBot="1" x14ac:dyDescent="0.35">
      <c r="B9" s="105"/>
    </row>
    <row r="10" spans="2:7" s="35" customFormat="1" ht="20.100000000000001" customHeight="1" thickTop="1" x14ac:dyDescent="0.3">
      <c r="B10" s="316"/>
      <c r="C10" s="118"/>
      <c r="D10" s="118"/>
      <c r="E10" s="118"/>
      <c r="F10" s="118"/>
      <c r="G10" s="102"/>
    </row>
    <row r="11" spans="2:7" ht="20.100000000000001" customHeight="1" x14ac:dyDescent="0.3">
      <c r="B11" s="119"/>
      <c r="C11" s="575"/>
      <c r="D11" s="626" t="s">
        <v>333</v>
      </c>
      <c r="E11" s="626" t="s">
        <v>334</v>
      </c>
      <c r="F11" s="626" t="s">
        <v>340</v>
      </c>
      <c r="G11" s="104"/>
    </row>
    <row r="12" spans="2:7" ht="27.6" x14ac:dyDescent="0.3">
      <c r="B12" s="119"/>
      <c r="C12" s="627"/>
      <c r="D12" s="632" t="s">
        <v>81</v>
      </c>
      <c r="E12" s="633" t="s">
        <v>345</v>
      </c>
      <c r="F12" s="633" t="s">
        <v>346</v>
      </c>
      <c r="G12" s="104"/>
    </row>
    <row r="13" spans="2:7" ht="20.100000000000001" customHeight="1" x14ac:dyDescent="0.3">
      <c r="B13" s="119"/>
      <c r="C13" s="627"/>
      <c r="D13" s="634"/>
      <c r="E13" s="43"/>
      <c r="F13" s="572" t="s">
        <v>101</v>
      </c>
      <c r="G13" s="104"/>
    </row>
    <row r="14" spans="2:7" ht="20.100000000000001" customHeight="1" x14ac:dyDescent="0.3">
      <c r="B14" s="119"/>
      <c r="C14" s="627"/>
      <c r="D14" s="572" t="s">
        <v>82</v>
      </c>
      <c r="E14" s="572" t="s">
        <v>507</v>
      </c>
      <c r="F14" s="572" t="s">
        <v>697</v>
      </c>
      <c r="G14" s="104"/>
    </row>
    <row r="15" spans="2:7" ht="33.75" customHeight="1" x14ac:dyDescent="0.3">
      <c r="B15" s="119"/>
      <c r="C15" s="627"/>
      <c r="D15" s="572"/>
      <c r="E15" s="158" t="s">
        <v>514</v>
      </c>
      <c r="F15" s="572"/>
      <c r="G15" s="104"/>
    </row>
    <row r="16" spans="2:7" ht="20.100000000000001" customHeight="1" x14ac:dyDescent="0.3">
      <c r="B16" s="119"/>
      <c r="C16" s="629"/>
      <c r="D16" s="630"/>
      <c r="E16" s="628"/>
      <c r="F16" s="628"/>
      <c r="G16" s="104"/>
    </row>
    <row r="17" spans="2:8" ht="20.100000000000001" customHeight="1" x14ac:dyDescent="0.3">
      <c r="B17" s="119"/>
      <c r="C17" s="530" t="s">
        <v>500</v>
      </c>
      <c r="D17" s="628"/>
      <c r="E17" s="628"/>
      <c r="F17" s="628"/>
      <c r="G17" s="104"/>
    </row>
    <row r="18" spans="2:8" ht="20.100000000000001" customHeight="1" x14ac:dyDescent="0.3">
      <c r="B18" s="119"/>
      <c r="C18" s="636"/>
      <c r="D18" s="480"/>
      <c r="E18" s="480"/>
      <c r="F18" s="635">
        <f>IF(D18=0,0,3.664*1000*E18/D18)</f>
        <v>0</v>
      </c>
      <c r="G18" s="104"/>
    </row>
    <row r="19" spans="2:8" ht="20.100000000000001" customHeight="1" x14ac:dyDescent="0.3">
      <c r="B19" s="119"/>
      <c r="C19" s="636"/>
      <c r="D19" s="480"/>
      <c r="E19" s="480"/>
      <c r="F19" s="635">
        <f>IF(D19=0,0,3.664*1000*E19/D19)</f>
        <v>0</v>
      </c>
      <c r="G19" s="104"/>
    </row>
    <row r="20" spans="2:8" ht="20.100000000000001" customHeight="1" x14ac:dyDescent="0.3">
      <c r="B20" s="119"/>
      <c r="C20" s="636"/>
      <c r="D20" s="480"/>
      <c r="E20" s="480"/>
      <c r="F20" s="635">
        <f>IF(D20=0,0,3.664*1000*E20/D20)</f>
        <v>0</v>
      </c>
      <c r="G20" s="104"/>
    </row>
    <row r="21" spans="2:8" ht="20.100000000000001" customHeight="1" x14ac:dyDescent="0.3">
      <c r="B21" s="119"/>
      <c r="C21" s="636"/>
      <c r="D21" s="480"/>
      <c r="E21" s="480"/>
      <c r="F21" s="635">
        <f>IF(D21=0,0,3.664*1000*E21/D21)</f>
        <v>0</v>
      </c>
      <c r="G21" s="104"/>
    </row>
    <row r="22" spans="2:8" ht="20.100000000000001" customHeight="1" x14ac:dyDescent="0.3">
      <c r="B22" s="119"/>
      <c r="C22" s="636"/>
      <c r="D22" s="480"/>
      <c r="E22" s="480"/>
      <c r="F22" s="635">
        <f>IF(D22=0,0,3.664*1000*E22/D22)</f>
        <v>0</v>
      </c>
      <c r="G22" s="104"/>
    </row>
    <row r="23" spans="2:8" ht="20.100000000000001" customHeight="1" thickBot="1" x14ac:dyDescent="0.35">
      <c r="B23" s="169"/>
      <c r="C23" s="97"/>
      <c r="D23" s="97"/>
      <c r="E23" s="97"/>
      <c r="F23" s="97"/>
      <c r="G23" s="111"/>
    </row>
    <row r="24" spans="2:8" ht="14.4" thickTop="1" x14ac:dyDescent="0.3"/>
    <row r="28" spans="2:8" x14ac:dyDescent="0.3">
      <c r="F28" s="93"/>
      <c r="H28" s="631"/>
    </row>
    <row r="29" spans="2:8" x14ac:dyDescent="0.3">
      <c r="F29" s="383"/>
    </row>
    <row r="34" spans="6:9" x14ac:dyDescent="0.3">
      <c r="F34" s="383"/>
    </row>
    <row r="38" spans="6:9" x14ac:dyDescent="0.3">
      <c r="H38" s="93"/>
      <c r="I38" s="631"/>
    </row>
    <row r="40" spans="6:9" x14ac:dyDescent="0.3">
      <c r="H40" s="383"/>
    </row>
  </sheetData>
  <customSheetViews>
    <customSheetView guid="{E748B311-90F6-4A4B-A4FB-821E74008EC3}" scale="75" fitToPage="1" showRuler="0">
      <pageMargins left="0.75" right="0.75" top="1" bottom="1" header="0.5" footer="0.5"/>
      <pageSetup paperSize="9" scale="64" orientation="portrait" r:id="rId1"/>
      <headerFooter alignWithMargins="0"/>
    </customSheetView>
  </customSheetViews>
  <phoneticPr fontId="26" type="noConversion"/>
  <pageMargins left="0.75" right="0.75" top="1" bottom="1" header="0.5" footer="0.5"/>
  <pageSetup scale="67" orientation="portrait" r:id="rId2"/>
  <headerFooter alignWithMargins="0">
    <oddHeader>&amp;L&amp;D&amp;R&amp;F</oddHeader>
  </headerFooter>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F37"/>
  <sheetViews>
    <sheetView zoomScale="75" zoomScaleNormal="75" workbookViewId="0"/>
  </sheetViews>
  <sheetFormatPr defaultRowHeight="13.8" x14ac:dyDescent="0.3"/>
  <cols>
    <col min="1" max="1" width="4" style="92" customWidth="1"/>
    <col min="2" max="2" width="23.5546875" style="92" customWidth="1"/>
    <col min="3" max="3" width="26" style="92" customWidth="1"/>
    <col min="4" max="4" width="25.109375" style="92" customWidth="1"/>
    <col min="5" max="5" width="24" style="92" customWidth="1"/>
    <col min="6" max="6" width="8" style="92" customWidth="1"/>
    <col min="7" max="7" width="4.33203125" style="92" customWidth="1"/>
    <col min="8" max="16384" width="8.88671875" style="92"/>
  </cols>
  <sheetData>
    <row r="1" spans="1:6" ht="18" customHeight="1" x14ac:dyDescent="0.3"/>
    <row r="2" spans="1:6" ht="18" customHeight="1" x14ac:dyDescent="0.35">
      <c r="A2" s="95" t="s">
        <v>296</v>
      </c>
      <c r="B2" s="95"/>
      <c r="C2" s="95"/>
      <c r="D2" s="95"/>
    </row>
    <row r="3" spans="1:6" ht="18" customHeight="1" x14ac:dyDescent="0.35">
      <c r="A3" s="875" t="s">
        <v>516</v>
      </c>
      <c r="B3" s="875"/>
      <c r="C3" s="875"/>
      <c r="D3" s="875"/>
      <c r="E3" s="875"/>
      <c r="F3" s="875"/>
    </row>
    <row r="4" spans="1:6" ht="18" customHeight="1" x14ac:dyDescent="0.35">
      <c r="A4" s="648" t="s">
        <v>367</v>
      </c>
    </row>
    <row r="5" spans="1:6" ht="18" customHeight="1" thickBot="1" x14ac:dyDescent="0.35"/>
    <row r="6" spans="1:6" ht="18" customHeight="1" thickTop="1" x14ac:dyDescent="0.3">
      <c r="A6" s="637"/>
      <c r="B6" s="638"/>
      <c r="C6" s="638"/>
      <c r="D6" s="638"/>
      <c r="E6" s="638"/>
      <c r="F6" s="639"/>
    </row>
    <row r="7" spans="1:6" ht="18" customHeight="1" x14ac:dyDescent="0.3">
      <c r="A7" s="640"/>
      <c r="B7" s="641"/>
      <c r="C7" s="641"/>
      <c r="D7" s="642"/>
      <c r="E7" s="641"/>
      <c r="F7" s="643"/>
    </row>
    <row r="8" spans="1:6" ht="28.5" customHeight="1" x14ac:dyDescent="0.3">
      <c r="A8" s="640"/>
      <c r="B8" s="151" t="s">
        <v>347</v>
      </c>
      <c r="C8" s="649" t="s">
        <v>405</v>
      </c>
      <c r="D8" s="649" t="s">
        <v>406</v>
      </c>
      <c r="E8" s="650" t="s">
        <v>407</v>
      </c>
      <c r="F8" s="643"/>
    </row>
    <row r="9" spans="1:6" ht="28.5" customHeight="1" x14ac:dyDescent="0.3">
      <c r="A9" s="640"/>
      <c r="B9" s="151"/>
      <c r="C9" s="649" t="s">
        <v>216</v>
      </c>
      <c r="D9" s="649"/>
      <c r="E9" s="650" t="s">
        <v>217</v>
      </c>
      <c r="F9" s="643"/>
    </row>
    <row r="10" spans="1:6" ht="18" customHeight="1" x14ac:dyDescent="0.3">
      <c r="A10" s="640"/>
      <c r="B10" s="644"/>
      <c r="C10" s="187"/>
      <c r="D10" s="187"/>
      <c r="E10" s="301"/>
      <c r="F10" s="643"/>
    </row>
    <row r="11" spans="1:6" ht="18" customHeight="1" x14ac:dyDescent="0.3">
      <c r="A11" s="640"/>
      <c r="B11" s="202" t="s">
        <v>404</v>
      </c>
      <c r="C11" s="299">
        <v>3.6200000000000003E-2</v>
      </c>
      <c r="D11" s="187">
        <v>85.5</v>
      </c>
      <c r="E11" s="300">
        <v>0.73899999999999999</v>
      </c>
      <c r="F11" s="643"/>
    </row>
    <row r="12" spans="1:6" ht="18" customHeight="1" x14ac:dyDescent="0.3">
      <c r="A12" s="640"/>
      <c r="B12" s="202" t="s">
        <v>350</v>
      </c>
      <c r="C12" s="299">
        <v>3.7600000000000001E-2</v>
      </c>
      <c r="D12" s="187">
        <v>86.01</v>
      </c>
      <c r="E12" s="301">
        <v>0.81</v>
      </c>
      <c r="F12" s="643"/>
    </row>
    <row r="13" spans="1:6" ht="18" customHeight="1" x14ac:dyDescent="0.3">
      <c r="A13" s="640"/>
      <c r="B13" s="202" t="s">
        <v>408</v>
      </c>
      <c r="C13" s="299">
        <v>3.9E-2</v>
      </c>
      <c r="D13" s="187">
        <v>86.6</v>
      </c>
      <c r="E13" s="300">
        <v>0.84499999999999997</v>
      </c>
      <c r="F13" s="643"/>
    </row>
    <row r="14" spans="1:6" ht="18" customHeight="1" x14ac:dyDescent="0.3">
      <c r="A14" s="640"/>
      <c r="B14" s="202" t="s">
        <v>409</v>
      </c>
      <c r="C14" s="299">
        <v>3.9E-2</v>
      </c>
      <c r="D14" s="187">
        <v>87.3</v>
      </c>
      <c r="E14" s="300">
        <v>0.84499999999999997</v>
      </c>
      <c r="F14" s="643"/>
    </row>
    <row r="15" spans="1:6" ht="18" customHeight="1" x14ac:dyDescent="0.3">
      <c r="A15" s="640"/>
      <c r="B15" s="159" t="s">
        <v>368</v>
      </c>
      <c r="C15" s="299">
        <v>3.9899999999999998E-2</v>
      </c>
      <c r="D15" s="187">
        <v>86.4</v>
      </c>
      <c r="E15" s="300">
        <v>0.89700000000000002</v>
      </c>
      <c r="F15" s="643"/>
    </row>
    <row r="16" spans="1:6" ht="18" customHeight="1" x14ac:dyDescent="0.3">
      <c r="A16" s="640"/>
      <c r="B16" s="159" t="s">
        <v>410</v>
      </c>
      <c r="C16" s="299">
        <v>4.1799999999999997E-2</v>
      </c>
      <c r="D16" s="187">
        <v>88.7</v>
      </c>
      <c r="E16" s="301">
        <v>0.95</v>
      </c>
      <c r="F16" s="643"/>
    </row>
    <row r="17" spans="1:6" ht="18" customHeight="1" x14ac:dyDescent="0.3">
      <c r="A17" s="640"/>
      <c r="B17" s="202" t="s">
        <v>411</v>
      </c>
      <c r="C17" s="299">
        <v>4.2700000000000002E-2</v>
      </c>
      <c r="D17" s="187">
        <v>88.3</v>
      </c>
      <c r="E17" s="301">
        <v>1.01</v>
      </c>
      <c r="F17" s="643"/>
    </row>
    <row r="18" spans="1:6" ht="18" customHeight="1" x14ac:dyDescent="0.3">
      <c r="A18" s="640"/>
      <c r="B18" s="202" t="s">
        <v>337</v>
      </c>
      <c r="C18" s="299">
        <v>2.6200000000000001E-2</v>
      </c>
      <c r="D18" s="187"/>
      <c r="E18" s="300" t="s">
        <v>228</v>
      </c>
      <c r="F18" s="643"/>
    </row>
    <row r="19" spans="1:6" ht="18" customHeight="1" x14ac:dyDescent="0.3">
      <c r="A19" s="640"/>
      <c r="B19" s="159" t="s">
        <v>338</v>
      </c>
      <c r="C19" s="299" t="s">
        <v>220</v>
      </c>
      <c r="D19" s="187">
        <v>80.599999999999994</v>
      </c>
      <c r="E19" s="300"/>
      <c r="F19" s="643"/>
    </row>
    <row r="20" spans="1:6" ht="18" customHeight="1" x14ac:dyDescent="0.3">
      <c r="A20" s="640"/>
      <c r="B20" s="159" t="s">
        <v>403</v>
      </c>
      <c r="C20" s="299" t="s">
        <v>221</v>
      </c>
      <c r="D20" s="187">
        <v>80.099999999999994</v>
      </c>
      <c r="E20" s="300"/>
      <c r="F20" s="643"/>
    </row>
    <row r="21" spans="1:6" ht="18" customHeight="1" x14ac:dyDescent="0.3">
      <c r="A21" s="640"/>
      <c r="B21" s="159" t="s">
        <v>698</v>
      </c>
      <c r="C21" s="299" t="s">
        <v>222</v>
      </c>
      <c r="D21" s="187"/>
      <c r="E21" s="300"/>
      <c r="F21" s="643"/>
    </row>
    <row r="22" spans="1:6" ht="18" customHeight="1" x14ac:dyDescent="0.3">
      <c r="A22" s="640"/>
      <c r="B22" s="159" t="s">
        <v>699</v>
      </c>
      <c r="C22" s="299" t="s">
        <v>223</v>
      </c>
      <c r="D22" s="187"/>
      <c r="E22" s="300"/>
      <c r="F22" s="643"/>
    </row>
    <row r="23" spans="1:6" ht="18" customHeight="1" x14ac:dyDescent="0.3">
      <c r="A23" s="640"/>
      <c r="B23" s="159" t="s">
        <v>402</v>
      </c>
      <c r="C23" s="299">
        <v>2.7099999999999999E-2</v>
      </c>
      <c r="D23" s="187">
        <v>83.6</v>
      </c>
      <c r="E23" s="300" t="s">
        <v>229</v>
      </c>
      <c r="F23" s="643"/>
    </row>
    <row r="24" spans="1:6" ht="18" customHeight="1" x14ac:dyDescent="0.3">
      <c r="A24" s="640"/>
      <c r="B24" s="159" t="s">
        <v>351</v>
      </c>
      <c r="C24" s="299">
        <v>2.52E-2</v>
      </c>
      <c r="D24" s="187">
        <v>81.599999999999994</v>
      </c>
      <c r="E24" s="300" t="s">
        <v>230</v>
      </c>
      <c r="F24" s="643"/>
    </row>
    <row r="25" spans="1:6" ht="18.75" customHeight="1" x14ac:dyDescent="0.3">
      <c r="A25" s="640"/>
      <c r="B25" s="159" t="s">
        <v>413</v>
      </c>
      <c r="C25" s="299" t="s">
        <v>224</v>
      </c>
      <c r="D25" s="187">
        <v>85</v>
      </c>
      <c r="E25" s="300"/>
      <c r="F25" s="643"/>
    </row>
    <row r="26" spans="1:6" ht="18.75" customHeight="1" x14ac:dyDescent="0.3">
      <c r="A26" s="640"/>
      <c r="B26" s="159" t="s">
        <v>181</v>
      </c>
      <c r="C26" s="299" t="s">
        <v>700</v>
      </c>
      <c r="D26" s="187" t="s">
        <v>412</v>
      </c>
      <c r="E26" s="300" t="s">
        <v>701</v>
      </c>
      <c r="F26" s="643"/>
    </row>
    <row r="27" spans="1:6" ht="19.5" customHeight="1" x14ac:dyDescent="0.3">
      <c r="A27" s="640"/>
      <c r="B27" s="651" t="s">
        <v>703</v>
      </c>
      <c r="C27" s="138" t="s">
        <v>219</v>
      </c>
      <c r="D27" s="187"/>
      <c r="E27" s="300"/>
      <c r="F27" s="643"/>
    </row>
    <row r="28" spans="1:6" ht="18" customHeight="1" x14ac:dyDescent="0.3">
      <c r="A28" s="640"/>
      <c r="B28" s="651" t="s">
        <v>704</v>
      </c>
      <c r="C28" s="138" t="s">
        <v>225</v>
      </c>
      <c r="D28" s="187"/>
      <c r="E28" s="300"/>
      <c r="F28" s="643"/>
    </row>
    <row r="29" spans="1:6" ht="21.75" customHeight="1" x14ac:dyDescent="0.3">
      <c r="A29" s="640"/>
      <c r="B29" s="651" t="s">
        <v>705</v>
      </c>
      <c r="C29" s="138" t="s">
        <v>226</v>
      </c>
      <c r="D29" s="187"/>
      <c r="E29" s="300"/>
      <c r="F29" s="643"/>
    </row>
    <row r="30" spans="1:6" ht="21" customHeight="1" x14ac:dyDescent="0.3">
      <c r="A30" s="640"/>
      <c r="B30" s="651" t="s">
        <v>706</v>
      </c>
      <c r="C30" s="138" t="s">
        <v>227</v>
      </c>
      <c r="D30" s="187"/>
      <c r="E30" s="300"/>
      <c r="F30" s="643"/>
    </row>
    <row r="31" spans="1:6" ht="18" customHeight="1" x14ac:dyDescent="0.3">
      <c r="A31" s="640"/>
      <c r="B31" s="421"/>
      <c r="C31" s="645"/>
      <c r="D31" s="189"/>
      <c r="E31" s="189"/>
      <c r="F31" s="643"/>
    </row>
    <row r="32" spans="1:6" ht="42" customHeight="1" x14ac:dyDescent="0.3">
      <c r="A32" s="640"/>
      <c r="B32" s="876" t="s">
        <v>218</v>
      </c>
      <c r="C32" s="877"/>
      <c r="D32" s="877"/>
      <c r="E32" s="877"/>
      <c r="F32" s="643"/>
    </row>
    <row r="33" spans="1:6" ht="15.75" customHeight="1" x14ac:dyDescent="0.3">
      <c r="A33" s="640"/>
      <c r="B33" s="876" t="s">
        <v>702</v>
      </c>
      <c r="C33" s="877"/>
      <c r="D33" s="877"/>
      <c r="E33" s="877"/>
      <c r="F33" s="643"/>
    </row>
    <row r="34" spans="1:6" ht="54" customHeight="1" x14ac:dyDescent="0.3">
      <c r="A34" s="640"/>
      <c r="B34" s="878" t="s">
        <v>182</v>
      </c>
      <c r="C34" s="879"/>
      <c r="D34" s="879"/>
      <c r="E34" s="879"/>
      <c r="F34" s="643"/>
    </row>
    <row r="35" spans="1:6" ht="38.25" customHeight="1" x14ac:dyDescent="0.3">
      <c r="A35" s="640"/>
      <c r="B35" s="876" t="s">
        <v>611</v>
      </c>
      <c r="C35" s="880"/>
      <c r="D35" s="880"/>
      <c r="E35" s="880"/>
      <c r="F35" s="643"/>
    </row>
    <row r="36" spans="1:6" ht="18.75" customHeight="1" thickBot="1" x14ac:dyDescent="0.35">
      <c r="A36" s="646"/>
      <c r="B36" s="97"/>
      <c r="C36" s="97"/>
      <c r="D36" s="97"/>
      <c r="E36" s="97"/>
      <c r="F36" s="647"/>
    </row>
    <row r="37" spans="1:6" ht="18" customHeight="1" thickTop="1" x14ac:dyDescent="0.3"/>
  </sheetData>
  <customSheetViews>
    <customSheetView guid="{E748B311-90F6-4A4B-A4FB-821E74008EC3}" scale="75" showPageBreaks="1" fitToPage="1" printArea="1" showRuler="0">
      <pageMargins left="0.75" right="0.75" top="1" bottom="1" header="0.5" footer="0.5"/>
      <pageSetup paperSize="9" scale="76" orientation="portrait" r:id="rId1"/>
      <headerFooter alignWithMargins="0"/>
    </customSheetView>
  </customSheetViews>
  <mergeCells count="5">
    <mergeCell ref="A3:F3"/>
    <mergeCell ref="B32:E32"/>
    <mergeCell ref="B34:E34"/>
    <mergeCell ref="B35:E35"/>
    <mergeCell ref="B33:E33"/>
  </mergeCells>
  <phoneticPr fontId="26" type="noConversion"/>
  <pageMargins left="0.75" right="0.75" top="1" bottom="1" header="0.5" footer="0.5"/>
  <pageSetup scale="79"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G67"/>
  <sheetViews>
    <sheetView zoomScale="75" zoomScaleNormal="75" workbookViewId="0"/>
  </sheetViews>
  <sheetFormatPr defaultColWidth="9.6640625" defaultRowHeight="13.2" x14ac:dyDescent="0.25"/>
  <cols>
    <col min="1" max="1" width="9.109375" style="442" customWidth="1"/>
    <col min="2" max="2" width="7.88671875" style="442" customWidth="1"/>
    <col min="3" max="3" width="30" style="442" customWidth="1"/>
    <col min="4" max="4" width="37.33203125" style="671" customWidth="1"/>
    <col min="5" max="5" width="31.5546875" style="671" customWidth="1"/>
    <col min="6" max="6" width="41" style="671" customWidth="1"/>
    <col min="7" max="7" width="14.44140625" style="442" customWidth="1"/>
    <col min="8" max="8" width="14.6640625" style="442" customWidth="1"/>
    <col min="9" max="16384" width="9.6640625" style="442"/>
  </cols>
  <sheetData>
    <row r="1" spans="1:7" s="652" customFormat="1" ht="18" customHeight="1" x14ac:dyDescent="0.3">
      <c r="D1" s="653"/>
      <c r="E1" s="653"/>
      <c r="F1" s="653"/>
    </row>
    <row r="2" spans="1:7" s="652" customFormat="1" ht="18" customHeight="1" x14ac:dyDescent="0.3">
      <c r="A2" s="441" t="s">
        <v>344</v>
      </c>
      <c r="D2" s="653"/>
      <c r="E2" s="653"/>
      <c r="F2" s="653"/>
    </row>
    <row r="3" spans="1:7" s="652" customFormat="1" ht="18" customHeight="1" x14ac:dyDescent="0.3">
      <c r="A3" s="654" t="s">
        <v>367</v>
      </c>
      <c r="D3" s="653"/>
      <c r="E3" s="653"/>
      <c r="F3" s="653"/>
    </row>
    <row r="4" spans="1:7" s="444" customFormat="1" ht="18" customHeight="1" thickBot="1" x14ac:dyDescent="0.3">
      <c r="B4" s="445"/>
      <c r="D4" s="655"/>
      <c r="E4" s="655"/>
      <c r="F4" s="655"/>
    </row>
    <row r="5" spans="1:7" s="444" customFormat="1" ht="20.100000000000001" customHeight="1" thickTop="1" x14ac:dyDescent="0.25">
      <c r="B5" s="446"/>
      <c r="C5" s="443"/>
      <c r="D5" s="656"/>
      <c r="E5" s="656"/>
      <c r="F5" s="656"/>
      <c r="G5" s="447"/>
    </row>
    <row r="6" spans="1:7" s="657" customFormat="1" ht="20.100000000000001" customHeight="1" x14ac:dyDescent="0.25">
      <c r="B6" s="658"/>
      <c r="C6" s="659" t="s">
        <v>415</v>
      </c>
      <c r="D6" s="660"/>
      <c r="E6" s="660"/>
      <c r="F6" s="660"/>
      <c r="G6" s="661"/>
    </row>
    <row r="7" spans="1:7" s="657" customFormat="1" ht="20.100000000000001" customHeight="1" x14ac:dyDescent="0.25">
      <c r="B7" s="658"/>
      <c r="C7" s="662" t="s">
        <v>416</v>
      </c>
      <c r="D7" s="663" t="s">
        <v>417</v>
      </c>
      <c r="E7" s="663" t="s">
        <v>498</v>
      </c>
      <c r="F7" s="663" t="s">
        <v>242</v>
      </c>
      <c r="G7" s="661"/>
    </row>
    <row r="8" spans="1:7" s="657" customFormat="1" ht="20.100000000000001" customHeight="1" x14ac:dyDescent="0.25">
      <c r="B8" s="658"/>
      <c r="C8" s="662" t="s">
        <v>414</v>
      </c>
      <c r="D8" s="663" t="s">
        <v>418</v>
      </c>
      <c r="E8" s="663"/>
      <c r="F8" s="663"/>
      <c r="G8" s="661"/>
    </row>
    <row r="9" spans="1:7" s="657" customFormat="1" ht="20.100000000000001" customHeight="1" x14ac:dyDescent="0.25">
      <c r="B9" s="658"/>
      <c r="C9" s="662" t="s">
        <v>419</v>
      </c>
      <c r="D9" s="663" t="s">
        <v>469</v>
      </c>
      <c r="E9" s="663" t="s">
        <v>420</v>
      </c>
      <c r="F9" s="663"/>
      <c r="G9" s="661"/>
    </row>
    <row r="10" spans="1:7" s="657" customFormat="1" ht="20.100000000000001" customHeight="1" x14ac:dyDescent="0.25">
      <c r="B10" s="658"/>
      <c r="C10" s="662" t="s">
        <v>241</v>
      </c>
      <c r="D10" s="663" t="s">
        <v>470</v>
      </c>
      <c r="E10" s="663" t="s">
        <v>471</v>
      </c>
      <c r="F10" s="663" t="s">
        <v>432</v>
      </c>
      <c r="G10" s="661"/>
    </row>
    <row r="11" spans="1:7" s="657" customFormat="1" ht="20.100000000000001" customHeight="1" x14ac:dyDescent="0.25">
      <c r="B11" s="658"/>
      <c r="C11" s="662"/>
      <c r="D11" s="663"/>
      <c r="E11" s="663"/>
      <c r="F11" s="663"/>
      <c r="G11" s="661"/>
    </row>
    <row r="12" spans="1:7" s="657" customFormat="1" ht="20.100000000000001" customHeight="1" x14ac:dyDescent="0.25">
      <c r="B12" s="658"/>
      <c r="C12" s="659" t="s">
        <v>421</v>
      </c>
      <c r="D12" s="663"/>
      <c r="E12" s="663"/>
      <c r="F12" s="663"/>
      <c r="G12" s="661"/>
    </row>
    <row r="13" spans="1:7" s="657" customFormat="1" ht="20.100000000000001" customHeight="1" x14ac:dyDescent="0.25">
      <c r="B13" s="658"/>
      <c r="C13" s="662" t="s">
        <v>484</v>
      </c>
      <c r="D13" s="663" t="s">
        <v>422</v>
      </c>
      <c r="E13" s="663" t="s">
        <v>423</v>
      </c>
      <c r="F13" s="663"/>
      <c r="G13" s="661"/>
    </row>
    <row r="14" spans="1:7" s="657" customFormat="1" ht="20.100000000000001" customHeight="1" x14ac:dyDescent="0.25">
      <c r="B14" s="658"/>
      <c r="C14" s="662" t="s">
        <v>484</v>
      </c>
      <c r="D14" s="663" t="s">
        <v>424</v>
      </c>
      <c r="E14" s="663" t="s">
        <v>487</v>
      </c>
      <c r="F14" s="663"/>
      <c r="G14" s="661"/>
    </row>
    <row r="15" spans="1:7" s="657" customFormat="1" ht="20.100000000000001" customHeight="1" x14ac:dyDescent="0.25">
      <c r="B15" s="658"/>
      <c r="C15" s="662" t="s">
        <v>234</v>
      </c>
      <c r="D15" s="664" t="s">
        <v>426</v>
      </c>
      <c r="E15" s="663" t="s">
        <v>425</v>
      </c>
      <c r="F15" s="663" t="s">
        <v>489</v>
      </c>
      <c r="G15" s="661"/>
    </row>
    <row r="16" spans="1:7" s="657" customFormat="1" ht="20.100000000000001" customHeight="1" x14ac:dyDescent="0.25">
      <c r="B16" s="658"/>
      <c r="C16" s="662" t="s">
        <v>427</v>
      </c>
      <c r="D16" s="663" t="s">
        <v>428</v>
      </c>
      <c r="E16" s="663" t="s">
        <v>433</v>
      </c>
      <c r="F16" s="663" t="s">
        <v>488</v>
      </c>
      <c r="G16" s="661"/>
    </row>
    <row r="17" spans="2:7" s="657" customFormat="1" ht="20.100000000000001" customHeight="1" x14ac:dyDescent="0.25">
      <c r="B17" s="658"/>
      <c r="C17" s="662" t="s">
        <v>434</v>
      </c>
      <c r="D17" s="663" t="s">
        <v>486</v>
      </c>
      <c r="E17" s="663" t="s">
        <v>435</v>
      </c>
      <c r="F17" s="663"/>
      <c r="G17" s="661"/>
    </row>
    <row r="18" spans="2:7" s="657" customFormat="1" ht="20.100000000000001" customHeight="1" x14ac:dyDescent="0.25">
      <c r="B18" s="658"/>
      <c r="C18" s="662" t="s">
        <v>485</v>
      </c>
      <c r="D18" s="663" t="s">
        <v>436</v>
      </c>
      <c r="E18" s="663" t="s">
        <v>437</v>
      </c>
      <c r="F18" s="663" t="s">
        <v>472</v>
      </c>
      <c r="G18" s="661"/>
    </row>
    <row r="19" spans="2:7" s="657" customFormat="1" ht="20.100000000000001" customHeight="1" x14ac:dyDescent="0.25">
      <c r="B19" s="658"/>
      <c r="C19" s="662"/>
      <c r="D19" s="663"/>
      <c r="E19" s="663"/>
      <c r="F19" s="663"/>
      <c r="G19" s="661"/>
    </row>
    <row r="20" spans="2:7" s="657" customFormat="1" ht="20.100000000000001" customHeight="1" x14ac:dyDescent="0.25">
      <c r="B20" s="658"/>
      <c r="C20" s="659" t="s">
        <v>343</v>
      </c>
      <c r="D20" s="663"/>
      <c r="E20" s="663"/>
      <c r="F20" s="663"/>
      <c r="G20" s="661"/>
    </row>
    <row r="21" spans="2:7" s="657" customFormat="1" ht="20.100000000000001" customHeight="1" x14ac:dyDescent="0.25">
      <c r="B21" s="658"/>
      <c r="C21" s="662" t="s">
        <v>438</v>
      </c>
      <c r="D21" s="663" t="s">
        <v>439</v>
      </c>
      <c r="E21" s="663" t="s">
        <v>473</v>
      </c>
      <c r="F21" s="663"/>
      <c r="G21" s="661"/>
    </row>
    <row r="22" spans="2:7" s="657" customFormat="1" ht="20.100000000000001" customHeight="1" x14ac:dyDescent="0.25">
      <c r="B22" s="658"/>
      <c r="C22" s="662" t="s">
        <v>445</v>
      </c>
      <c r="D22" s="663" t="s">
        <v>446</v>
      </c>
      <c r="E22" s="663"/>
      <c r="F22" s="663"/>
      <c r="G22" s="661"/>
    </row>
    <row r="23" spans="2:7" s="657" customFormat="1" ht="20.100000000000001" customHeight="1" x14ac:dyDescent="0.25">
      <c r="B23" s="658"/>
      <c r="C23" s="662" t="s">
        <v>440</v>
      </c>
      <c r="D23" s="663" t="s">
        <v>447</v>
      </c>
      <c r="E23" s="663" t="s">
        <v>448</v>
      </c>
      <c r="F23" s="663"/>
      <c r="G23" s="661"/>
    </row>
    <row r="24" spans="2:7" s="657" customFormat="1" ht="20.100000000000001" customHeight="1" x14ac:dyDescent="0.25">
      <c r="B24" s="658"/>
      <c r="C24" s="662" t="s">
        <v>443</v>
      </c>
      <c r="D24" s="663" t="s">
        <v>474</v>
      </c>
      <c r="E24" s="663"/>
      <c r="F24" s="663"/>
      <c r="G24" s="661"/>
    </row>
    <row r="25" spans="2:7" s="657" customFormat="1" ht="20.100000000000001" customHeight="1" x14ac:dyDescent="0.25">
      <c r="B25" s="658"/>
      <c r="C25" s="662" t="s">
        <v>444</v>
      </c>
      <c r="D25" s="663" t="s">
        <v>441</v>
      </c>
      <c r="E25" s="663" t="s">
        <v>442</v>
      </c>
      <c r="F25" s="663"/>
      <c r="G25" s="661"/>
    </row>
    <row r="26" spans="2:7" s="657" customFormat="1" ht="20.100000000000001" customHeight="1" x14ac:dyDescent="0.25">
      <c r="B26" s="658"/>
      <c r="C26" s="662" t="s">
        <v>451</v>
      </c>
      <c r="D26" s="663" t="s">
        <v>475</v>
      </c>
      <c r="E26" s="663" t="s">
        <v>452</v>
      </c>
      <c r="F26" s="663" t="s">
        <v>453</v>
      </c>
      <c r="G26" s="661"/>
    </row>
    <row r="27" spans="2:7" s="657" customFormat="1" ht="20.100000000000001" customHeight="1" x14ac:dyDescent="0.25">
      <c r="B27" s="658"/>
      <c r="C27" s="662"/>
      <c r="D27" s="663"/>
      <c r="E27" s="663"/>
      <c r="F27" s="663"/>
      <c r="G27" s="661"/>
    </row>
    <row r="28" spans="2:7" s="657" customFormat="1" ht="20.100000000000001" customHeight="1" x14ac:dyDescent="0.25">
      <c r="B28" s="658"/>
      <c r="C28" s="659" t="s">
        <v>449</v>
      </c>
      <c r="D28" s="663"/>
      <c r="E28" s="663"/>
      <c r="F28" s="663"/>
      <c r="G28" s="661"/>
    </row>
    <row r="29" spans="2:7" s="657" customFormat="1" ht="20.100000000000001" customHeight="1" x14ac:dyDescent="0.25">
      <c r="B29" s="658"/>
      <c r="C29" s="662" t="s">
        <v>461</v>
      </c>
      <c r="D29" s="663" t="s">
        <v>476</v>
      </c>
      <c r="E29" s="663"/>
      <c r="F29" s="663"/>
      <c r="G29" s="661"/>
    </row>
    <row r="30" spans="2:7" s="657" customFormat="1" ht="20.100000000000001" customHeight="1" x14ac:dyDescent="0.25">
      <c r="B30" s="658"/>
      <c r="C30" s="662" t="s">
        <v>462</v>
      </c>
      <c r="D30" s="663" t="s">
        <v>477</v>
      </c>
      <c r="E30" s="663"/>
      <c r="F30" s="663"/>
      <c r="G30" s="661"/>
    </row>
    <row r="31" spans="2:7" s="657" customFormat="1" ht="20.100000000000001" customHeight="1" x14ac:dyDescent="0.25">
      <c r="B31" s="658"/>
      <c r="C31" s="662" t="s">
        <v>463</v>
      </c>
      <c r="D31" s="663" t="s">
        <v>478</v>
      </c>
      <c r="E31" s="663"/>
      <c r="F31" s="663"/>
      <c r="G31" s="661"/>
    </row>
    <row r="32" spans="2:7" s="657" customFormat="1" ht="20.100000000000001" customHeight="1" x14ac:dyDescent="0.25">
      <c r="B32" s="658"/>
      <c r="C32" s="662" t="s">
        <v>464</v>
      </c>
      <c r="D32" s="663" t="s">
        <v>479</v>
      </c>
      <c r="E32" s="663"/>
      <c r="F32" s="663"/>
      <c r="G32" s="661"/>
    </row>
    <row r="33" spans="2:7" s="657" customFormat="1" ht="20.100000000000001" customHeight="1" x14ac:dyDescent="0.25">
      <c r="B33" s="658"/>
      <c r="C33" s="662" t="s">
        <v>460</v>
      </c>
      <c r="D33" s="663" t="s">
        <v>245</v>
      </c>
      <c r="E33" s="663"/>
      <c r="F33" s="663"/>
      <c r="G33" s="661"/>
    </row>
    <row r="34" spans="2:7" s="657" customFormat="1" ht="20.100000000000001" customHeight="1" x14ac:dyDescent="0.25">
      <c r="B34" s="658"/>
      <c r="C34" s="662" t="s">
        <v>459</v>
      </c>
      <c r="D34" s="663" t="s">
        <v>246</v>
      </c>
      <c r="E34" s="663"/>
      <c r="F34" s="663"/>
      <c r="G34" s="661"/>
    </row>
    <row r="35" spans="2:7" s="657" customFormat="1" ht="20.100000000000001" customHeight="1" x14ac:dyDescent="0.25">
      <c r="B35" s="658"/>
      <c r="C35" s="662" t="s">
        <v>456</v>
      </c>
      <c r="D35" s="663" t="s">
        <v>247</v>
      </c>
      <c r="E35" s="663" t="s">
        <v>458</v>
      </c>
      <c r="F35" s="663" t="s">
        <v>457</v>
      </c>
      <c r="G35" s="661"/>
    </row>
    <row r="36" spans="2:7" s="657" customFormat="1" ht="20.100000000000001" customHeight="1" x14ac:dyDescent="0.25">
      <c r="B36" s="658"/>
      <c r="C36" s="662" t="s">
        <v>454</v>
      </c>
      <c r="D36" s="663" t="s">
        <v>455</v>
      </c>
      <c r="E36" s="663"/>
      <c r="F36" s="663"/>
      <c r="G36" s="661"/>
    </row>
    <row r="37" spans="2:7" s="657" customFormat="1" ht="20.100000000000001" customHeight="1" x14ac:dyDescent="0.25">
      <c r="B37" s="658"/>
      <c r="C37" s="662" t="s">
        <v>243</v>
      </c>
      <c r="D37" s="663" t="s">
        <v>244</v>
      </c>
      <c r="E37" s="663"/>
      <c r="F37" s="663"/>
      <c r="G37" s="661"/>
    </row>
    <row r="38" spans="2:7" s="657" customFormat="1" ht="20.100000000000001" customHeight="1" x14ac:dyDescent="0.25">
      <c r="B38" s="658"/>
      <c r="C38" s="665"/>
      <c r="D38" s="666"/>
      <c r="E38" s="666"/>
      <c r="F38" s="666"/>
      <c r="G38" s="661"/>
    </row>
    <row r="39" spans="2:7" s="657" customFormat="1" ht="20.100000000000001" customHeight="1" x14ac:dyDescent="0.25">
      <c r="B39" s="658"/>
      <c r="C39" s="667"/>
      <c r="D39" s="667"/>
      <c r="E39" s="667"/>
      <c r="F39" s="667"/>
      <c r="G39" s="661"/>
    </row>
    <row r="40" spans="2:7" s="657" customFormat="1" ht="20.100000000000001" customHeight="1" x14ac:dyDescent="0.25">
      <c r="B40" s="658"/>
      <c r="C40" s="668"/>
      <c r="D40" s="669"/>
      <c r="E40" s="667"/>
      <c r="F40" s="667"/>
      <c r="G40" s="661"/>
    </row>
    <row r="41" spans="2:7" ht="20.100000000000001" customHeight="1" thickBot="1" x14ac:dyDescent="0.3">
      <c r="B41" s="448"/>
      <c r="C41" s="449"/>
      <c r="D41" s="670"/>
      <c r="E41" s="670"/>
      <c r="F41" s="670"/>
      <c r="G41" s="522"/>
    </row>
    <row r="42" spans="2:7" ht="13.8" thickTop="1" x14ac:dyDescent="0.25"/>
    <row r="63" ht="17.25" customHeight="1" x14ac:dyDescent="0.25"/>
    <row r="64" ht="17.25" customHeight="1" x14ac:dyDescent="0.25"/>
    <row r="65" ht="17.25" customHeight="1" x14ac:dyDescent="0.25"/>
    <row r="66" ht="17.25" customHeight="1" x14ac:dyDescent="0.25"/>
    <row r="67" ht="17.25" customHeight="1" x14ac:dyDescent="0.25"/>
  </sheetData>
  <customSheetViews>
    <customSheetView guid="{E748B311-90F6-4A4B-A4FB-821E74008EC3}" scale="75" fitToPage="1" showRuler="0">
      <selection activeCell="A3" sqref="A3"/>
      <pageMargins left="0.75" right="0.75" top="1" bottom="1" header="0.5" footer="0.5"/>
      <pageSetup paperSize="9" scale="51" orientation="portrait" r:id="rId1"/>
      <headerFooter alignWithMargins="0"/>
    </customSheetView>
  </customSheetViews>
  <phoneticPr fontId="26" type="noConversion"/>
  <pageMargins left="0.75" right="0.75" top="1" bottom="1" header="0.5" footer="0.5"/>
  <pageSetup scale="53"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R38"/>
  <sheetViews>
    <sheetView zoomScale="75" workbookViewId="0"/>
  </sheetViews>
  <sheetFormatPr defaultRowHeight="13.8" x14ac:dyDescent="0.3"/>
  <cols>
    <col min="1" max="1" width="4.5546875" style="92" customWidth="1"/>
    <col min="2" max="2" width="5.88671875" style="92" customWidth="1"/>
    <col min="3" max="3" width="33.6640625" style="92" customWidth="1"/>
    <col min="4" max="4" width="24.109375" style="92" customWidth="1"/>
    <col min="5" max="5" width="16.44140625" style="92" customWidth="1"/>
    <col min="6" max="6" width="16.6640625" style="92" customWidth="1"/>
    <col min="7" max="7" width="22.44140625" style="92" customWidth="1"/>
    <col min="8" max="8" width="23.5546875" style="92" customWidth="1"/>
    <col min="9" max="9" width="23.33203125" style="92" customWidth="1"/>
    <col min="10" max="10" width="18.88671875" style="92" customWidth="1"/>
    <col min="11" max="11" width="13.44140625" style="92" customWidth="1"/>
    <col min="12" max="16384" width="8.88671875" style="92"/>
  </cols>
  <sheetData>
    <row r="1" spans="2:18" ht="21.75" customHeight="1" x14ac:dyDescent="0.3">
      <c r="B1" s="881"/>
      <c r="C1" s="882"/>
      <c r="D1" s="882"/>
      <c r="E1" s="882"/>
      <c r="F1" s="882"/>
      <c r="G1" s="882"/>
      <c r="H1" s="883"/>
      <c r="I1" s="883"/>
      <c r="J1" s="879"/>
      <c r="K1" s="879"/>
      <c r="L1" s="879"/>
      <c r="M1" s="879"/>
    </row>
    <row r="2" spans="2:18" ht="6.75" customHeight="1" thickBot="1" x14ac:dyDescent="0.35">
      <c r="E2" s="93"/>
      <c r="F2" s="93"/>
      <c r="G2" s="93"/>
    </row>
    <row r="3" spans="2:18" ht="24" customHeight="1" thickTop="1" x14ac:dyDescent="0.45">
      <c r="B3" s="684"/>
      <c r="C3" s="695" t="s">
        <v>172</v>
      </c>
      <c r="D3" s="685"/>
      <c r="E3" s="686"/>
      <c r="F3" s="686"/>
      <c r="G3" s="687"/>
    </row>
    <row r="4" spans="2:18" ht="18" customHeight="1" thickBot="1" x14ac:dyDescent="0.5">
      <c r="B4" s="692"/>
      <c r="C4" s="696" t="s">
        <v>712</v>
      </c>
      <c r="D4" s="693"/>
      <c r="E4" s="693"/>
      <c r="F4" s="693"/>
      <c r="G4" s="694"/>
    </row>
    <row r="5" spans="2:18" ht="83.25" customHeight="1" thickTop="1" x14ac:dyDescent="0.3">
      <c r="B5" s="884" t="s">
        <v>713</v>
      </c>
      <c r="C5" s="885"/>
      <c r="D5" s="885"/>
      <c r="E5" s="885"/>
      <c r="F5" s="885"/>
      <c r="G5" s="886"/>
      <c r="H5" s="193"/>
      <c r="I5" s="193"/>
      <c r="J5" s="193"/>
    </row>
    <row r="6" spans="2:18" ht="15" customHeight="1" x14ac:dyDescent="0.3">
      <c r="B6" s="688"/>
      <c r="C6" s="66"/>
      <c r="D6" s="66"/>
      <c r="E6" s="66"/>
      <c r="F6" s="66"/>
      <c r="G6" s="689"/>
      <c r="H6" s="193"/>
      <c r="I6" s="193"/>
      <c r="J6" s="193"/>
    </row>
    <row r="7" spans="2:18" ht="74.25" customHeight="1" x14ac:dyDescent="0.3">
      <c r="B7" s="884" t="s">
        <v>173</v>
      </c>
      <c r="C7" s="885"/>
      <c r="D7" s="885"/>
      <c r="E7" s="885"/>
      <c r="F7" s="885"/>
      <c r="G7" s="886"/>
      <c r="H7" s="193"/>
      <c r="I7" s="193"/>
      <c r="J7" s="193"/>
    </row>
    <row r="8" spans="2:18" ht="18" customHeight="1" x14ac:dyDescent="0.3">
      <c r="B8" s="690"/>
      <c r="C8" s="35"/>
      <c r="D8" s="35"/>
      <c r="E8" s="35"/>
      <c r="F8" s="35"/>
      <c r="G8" s="691"/>
    </row>
    <row r="9" spans="2:18" ht="174" customHeight="1" thickBot="1" x14ac:dyDescent="0.35">
      <c r="B9" s="887" t="s">
        <v>174</v>
      </c>
      <c r="C9" s="888"/>
      <c r="D9" s="888"/>
      <c r="E9" s="888"/>
      <c r="F9" s="888"/>
      <c r="G9" s="889"/>
      <c r="H9" s="193"/>
      <c r="I9" s="193"/>
      <c r="J9" s="193"/>
    </row>
    <row r="10" spans="2:18" ht="18" customHeight="1" thickTop="1" x14ac:dyDescent="0.3"/>
    <row r="11" spans="2:18" ht="18" customHeight="1" thickBot="1" x14ac:dyDescent="0.4">
      <c r="C11" s="95"/>
      <c r="D11" s="95"/>
      <c r="E11" s="93"/>
      <c r="F11" s="93"/>
      <c r="G11" s="93"/>
    </row>
    <row r="12" spans="2:18" ht="27" customHeight="1" thickTop="1" x14ac:dyDescent="0.3">
      <c r="B12" s="98" t="s">
        <v>283</v>
      </c>
      <c r="C12" s="118"/>
      <c r="D12" s="118"/>
      <c r="E12" s="450"/>
      <c r="F12" s="93"/>
      <c r="G12" s="93"/>
    </row>
    <row r="13" spans="2:18" ht="18" customHeight="1" x14ac:dyDescent="0.3">
      <c r="B13" s="799" t="s">
        <v>714</v>
      </c>
      <c r="C13" s="800"/>
      <c r="D13" s="28"/>
      <c r="E13" s="451"/>
      <c r="F13" s="93"/>
      <c r="G13" s="93"/>
    </row>
    <row r="14" spans="2:18" ht="18" customHeight="1" x14ac:dyDescent="0.3">
      <c r="B14" s="799" t="s">
        <v>565</v>
      </c>
      <c r="C14" s="800"/>
      <c r="D14" s="29"/>
      <c r="E14" s="672"/>
      <c r="F14" s="93"/>
      <c r="G14" s="93"/>
    </row>
    <row r="15" spans="2:18" ht="18" customHeight="1" thickBot="1" x14ac:dyDescent="0.35">
      <c r="B15" s="106"/>
      <c r="C15" s="107"/>
      <c r="D15" s="107"/>
      <c r="E15" s="452"/>
      <c r="F15" s="126"/>
      <c r="G15" s="103"/>
      <c r="H15" s="35"/>
      <c r="I15" s="35"/>
      <c r="J15" s="35"/>
      <c r="K15" s="35"/>
      <c r="L15" s="35"/>
      <c r="M15" s="35"/>
      <c r="N15" s="35"/>
      <c r="O15" s="35"/>
      <c r="P15" s="35"/>
      <c r="Q15" s="35"/>
      <c r="R15" s="35"/>
    </row>
    <row r="16" spans="2:18" ht="17.25" customHeight="1" thickTop="1" x14ac:dyDescent="0.3"/>
    <row r="17" spans="2:18" ht="14.4" thickBot="1" x14ac:dyDescent="0.35"/>
    <row r="18" spans="2:18" ht="34.5" customHeight="1" thickTop="1" x14ac:dyDescent="0.3">
      <c r="B18" s="316"/>
      <c r="C18" s="673" t="s">
        <v>175</v>
      </c>
      <c r="D18" s="101"/>
      <c r="E18" s="101"/>
      <c r="F18" s="101"/>
      <c r="G18" s="118"/>
      <c r="H18" s="118"/>
      <c r="I18" s="118"/>
      <c r="J18" s="118"/>
      <c r="K18" s="118"/>
      <c r="L18" s="118"/>
      <c r="M18" s="118"/>
      <c r="N18" s="102"/>
      <c r="O18" s="35"/>
      <c r="P18" s="35"/>
    </row>
    <row r="19" spans="2:18" ht="18" customHeight="1" x14ac:dyDescent="0.3">
      <c r="B19" s="119"/>
      <c r="C19" s="35"/>
      <c r="D19" s="120"/>
      <c r="E19" s="804" t="s">
        <v>450</v>
      </c>
      <c r="F19" s="859"/>
      <c r="G19" s="804" t="s">
        <v>465</v>
      </c>
      <c r="H19" s="859"/>
      <c r="I19" s="804" t="s">
        <v>466</v>
      </c>
      <c r="J19" s="859"/>
      <c r="K19" s="575"/>
      <c r="L19" s="35"/>
      <c r="M19" s="35"/>
      <c r="N19" s="104"/>
      <c r="O19" s="35"/>
      <c r="P19" s="35"/>
    </row>
    <row r="20" spans="2:18" ht="18" customHeight="1" x14ac:dyDescent="0.3">
      <c r="B20" s="119"/>
      <c r="C20" s="35"/>
      <c r="D20" s="120"/>
      <c r="E20" s="151" t="s">
        <v>333</v>
      </c>
      <c r="F20" s="151" t="s">
        <v>334</v>
      </c>
      <c r="G20" s="152" t="s">
        <v>493</v>
      </c>
      <c r="H20" s="154" t="s">
        <v>335</v>
      </c>
      <c r="I20" s="155" t="s">
        <v>336</v>
      </c>
      <c r="J20" s="153" t="s">
        <v>339</v>
      </c>
      <c r="K20" s="467"/>
      <c r="L20" s="35"/>
      <c r="M20" s="35"/>
      <c r="N20" s="104"/>
      <c r="O20" s="35"/>
      <c r="P20" s="35"/>
    </row>
    <row r="21" spans="2:18" ht="84.75" customHeight="1" x14ac:dyDescent="0.3">
      <c r="B21" s="68"/>
      <c r="C21" s="66"/>
      <c r="D21" s="121"/>
      <c r="E21" s="156" t="s">
        <v>494</v>
      </c>
      <c r="F21" s="156" t="s">
        <v>178</v>
      </c>
      <c r="G21" s="157" t="s">
        <v>707</v>
      </c>
      <c r="H21" s="157" t="s">
        <v>708</v>
      </c>
      <c r="I21" s="157" t="s">
        <v>709</v>
      </c>
      <c r="J21" s="158" t="s">
        <v>710</v>
      </c>
      <c r="K21" s="576"/>
      <c r="L21" s="35"/>
      <c r="M21" s="35"/>
      <c r="N21" s="104"/>
      <c r="O21" s="35"/>
      <c r="P21" s="35"/>
    </row>
    <row r="22" spans="2:18" ht="18" customHeight="1" x14ac:dyDescent="0.3">
      <c r="B22" s="119"/>
      <c r="C22" s="35"/>
      <c r="D22" s="120"/>
      <c r="E22" s="159"/>
      <c r="F22" s="159"/>
      <c r="G22" s="158"/>
      <c r="H22" s="158"/>
      <c r="I22" s="158" t="s">
        <v>90</v>
      </c>
      <c r="J22" s="160" t="s">
        <v>91</v>
      </c>
      <c r="K22" s="576"/>
      <c r="L22" s="35"/>
      <c r="M22" s="35"/>
      <c r="N22" s="104"/>
      <c r="O22" s="35"/>
      <c r="P22" s="35"/>
    </row>
    <row r="23" spans="2:18" ht="15" x14ac:dyDescent="0.3">
      <c r="B23" s="119"/>
      <c r="C23" s="122" t="s">
        <v>15</v>
      </c>
      <c r="D23" s="123" t="s">
        <v>16</v>
      </c>
      <c r="E23" s="134">
        <v>500000</v>
      </c>
      <c r="F23" s="136" t="s">
        <v>231</v>
      </c>
      <c r="G23" s="674">
        <v>103</v>
      </c>
      <c r="H23" s="136" t="s">
        <v>715</v>
      </c>
      <c r="I23" s="137">
        <f>E23*G23</f>
        <v>51500000</v>
      </c>
      <c r="J23" s="469">
        <f>I23/1000</f>
        <v>51500</v>
      </c>
      <c r="K23" s="675"/>
      <c r="L23" s="35"/>
      <c r="M23" s="35"/>
      <c r="N23" s="104"/>
      <c r="O23" s="35"/>
      <c r="P23" s="35"/>
    </row>
    <row r="24" spans="2:18" ht="18" customHeight="1" x14ac:dyDescent="0.3">
      <c r="B24" s="124"/>
      <c r="C24" s="327" t="s">
        <v>349</v>
      </c>
      <c r="D24" s="189" t="s">
        <v>347</v>
      </c>
      <c r="E24" s="141"/>
      <c r="F24" s="141"/>
      <c r="G24" s="142"/>
      <c r="H24" s="143"/>
      <c r="I24" s="144"/>
      <c r="J24" s="141"/>
      <c r="K24" s="676"/>
      <c r="L24" s="35"/>
      <c r="M24" s="35"/>
      <c r="N24" s="104"/>
      <c r="O24" s="35"/>
      <c r="P24" s="35"/>
    </row>
    <row r="25" spans="2:18" ht="18" customHeight="1" x14ac:dyDescent="0.3">
      <c r="B25" s="119"/>
      <c r="C25" s="477"/>
      <c r="D25" s="478"/>
      <c r="E25" s="496"/>
      <c r="F25" s="478"/>
      <c r="G25" s="480"/>
      <c r="H25" s="697"/>
      <c r="I25" s="173" t="str">
        <f>IF(E25="","",E25*G25)</f>
        <v/>
      </c>
      <c r="J25" s="173" t="str">
        <f>IF(ISERROR(I25/1000),"",I25/1000)</f>
        <v/>
      </c>
      <c r="K25" s="421"/>
      <c r="L25" s="35"/>
      <c r="M25" s="35"/>
      <c r="N25" s="104"/>
      <c r="O25" s="35"/>
      <c r="P25" s="35"/>
    </row>
    <row r="26" spans="2:18" ht="18" customHeight="1" x14ac:dyDescent="0.3">
      <c r="B26" s="119"/>
      <c r="C26" s="477"/>
      <c r="D26" s="478"/>
      <c r="E26" s="496"/>
      <c r="F26" s="478"/>
      <c r="G26" s="480"/>
      <c r="H26" s="697"/>
      <c r="I26" s="173" t="str">
        <f t="shared" ref="I26:I31" si="0">IF(E26="","",E26*G26)</f>
        <v/>
      </c>
      <c r="J26" s="173" t="str">
        <f t="shared" ref="J26:J31" si="1">IF(ISERROR(I26/1000),"",I26/1000)</f>
        <v/>
      </c>
      <c r="K26" s="421"/>
      <c r="L26" s="35"/>
      <c r="M26" s="35"/>
      <c r="N26" s="104"/>
      <c r="O26" s="35"/>
      <c r="P26" s="35"/>
    </row>
    <row r="27" spans="2:18" ht="18" customHeight="1" x14ac:dyDescent="0.3">
      <c r="B27" s="119"/>
      <c r="C27" s="477"/>
      <c r="D27" s="478"/>
      <c r="E27" s="496"/>
      <c r="F27" s="478"/>
      <c r="G27" s="480"/>
      <c r="H27" s="697"/>
      <c r="I27" s="173" t="str">
        <f t="shared" si="0"/>
        <v/>
      </c>
      <c r="J27" s="173" t="str">
        <f t="shared" si="1"/>
        <v/>
      </c>
      <c r="K27" s="421"/>
      <c r="L27" s="35"/>
      <c r="M27" s="35"/>
      <c r="N27" s="104"/>
      <c r="O27" s="35"/>
      <c r="P27" s="35"/>
    </row>
    <row r="28" spans="2:18" ht="18" customHeight="1" x14ac:dyDescent="0.3">
      <c r="B28" s="119"/>
      <c r="C28" s="477"/>
      <c r="D28" s="478"/>
      <c r="E28" s="496"/>
      <c r="F28" s="478"/>
      <c r="G28" s="480"/>
      <c r="H28" s="697"/>
      <c r="I28" s="173" t="str">
        <f t="shared" si="0"/>
        <v/>
      </c>
      <c r="J28" s="173" t="str">
        <f t="shared" si="1"/>
        <v/>
      </c>
      <c r="K28" s="421"/>
      <c r="L28" s="35"/>
      <c r="M28" s="35"/>
      <c r="N28" s="104"/>
      <c r="O28" s="35"/>
      <c r="P28" s="35"/>
    </row>
    <row r="29" spans="2:18" ht="18" customHeight="1" x14ac:dyDescent="0.3">
      <c r="B29" s="119"/>
      <c r="C29" s="477"/>
      <c r="D29" s="478"/>
      <c r="E29" s="496"/>
      <c r="F29" s="478"/>
      <c r="G29" s="480"/>
      <c r="H29" s="697"/>
      <c r="I29" s="173" t="str">
        <f t="shared" si="0"/>
        <v/>
      </c>
      <c r="J29" s="173" t="str">
        <f t="shared" si="1"/>
        <v/>
      </c>
      <c r="K29" s="421"/>
      <c r="L29" s="35"/>
      <c r="M29" s="35"/>
      <c r="N29" s="104"/>
      <c r="O29" s="35"/>
      <c r="P29" s="35"/>
      <c r="Q29" s="35"/>
      <c r="R29" s="35"/>
    </row>
    <row r="30" spans="2:18" ht="18" customHeight="1" x14ac:dyDescent="0.3">
      <c r="B30" s="119"/>
      <c r="C30" s="477"/>
      <c r="D30" s="478"/>
      <c r="E30" s="496"/>
      <c r="F30" s="478"/>
      <c r="G30" s="480"/>
      <c r="H30" s="697"/>
      <c r="I30" s="173" t="str">
        <f t="shared" si="0"/>
        <v/>
      </c>
      <c r="J30" s="173" t="str">
        <f t="shared" si="1"/>
        <v/>
      </c>
      <c r="K30" s="421"/>
      <c r="L30" s="35"/>
      <c r="M30" s="35"/>
      <c r="N30" s="104"/>
      <c r="O30" s="35"/>
      <c r="P30" s="35"/>
      <c r="Q30" s="35"/>
      <c r="R30" s="35"/>
    </row>
    <row r="31" spans="2:18" ht="18" customHeight="1" x14ac:dyDescent="0.3">
      <c r="B31" s="119"/>
      <c r="C31" s="477"/>
      <c r="D31" s="478"/>
      <c r="E31" s="496"/>
      <c r="F31" s="478"/>
      <c r="G31" s="480"/>
      <c r="H31" s="697"/>
      <c r="I31" s="173" t="str">
        <f t="shared" si="0"/>
        <v/>
      </c>
      <c r="J31" s="173" t="str">
        <f t="shared" si="1"/>
        <v/>
      </c>
      <c r="K31" s="421"/>
      <c r="L31" s="35"/>
      <c r="M31" s="35"/>
      <c r="N31" s="104"/>
    </row>
    <row r="32" spans="2:18" ht="18" customHeight="1" x14ac:dyDescent="0.3">
      <c r="B32" s="164"/>
      <c r="C32" s="38"/>
      <c r="D32" s="165"/>
      <c r="E32" s="165"/>
      <c r="F32" s="165"/>
      <c r="G32" s="38"/>
      <c r="H32" s="38"/>
      <c r="I32" s="463"/>
      <c r="J32" s="463"/>
      <c r="K32" s="463"/>
      <c r="L32" s="35"/>
      <c r="M32" s="35"/>
      <c r="N32" s="104"/>
    </row>
    <row r="33" spans="1:14" ht="18" customHeight="1" x14ac:dyDescent="0.3">
      <c r="B33" s="164"/>
      <c r="C33" s="38"/>
      <c r="D33" s="35"/>
      <c r="E33" s="35"/>
      <c r="F33" s="329"/>
      <c r="G33" s="830" t="s">
        <v>716</v>
      </c>
      <c r="H33" s="892"/>
      <c r="I33" s="893"/>
      <c r="J33" s="527">
        <f>SUM(J25:J31)</f>
        <v>0</v>
      </c>
      <c r="K33" s="476" t="s">
        <v>176</v>
      </c>
      <c r="L33" s="35"/>
      <c r="M33" s="35"/>
      <c r="N33" s="104"/>
    </row>
    <row r="34" spans="1:14" ht="18" customHeight="1" x14ac:dyDescent="0.3">
      <c r="A34" s="104"/>
      <c r="B34" s="164"/>
      <c r="C34" s="38"/>
      <c r="D34" s="677"/>
      <c r="E34" s="523"/>
      <c r="F34" s="523"/>
      <c r="G34" s="523"/>
      <c r="H34" s="523"/>
      <c r="I34" s="523"/>
      <c r="J34" s="678"/>
      <c r="K34" s="35"/>
      <c r="L34" s="35"/>
      <c r="M34" s="35"/>
      <c r="N34" s="104"/>
    </row>
    <row r="35" spans="1:14" ht="49.5" customHeight="1" x14ac:dyDescent="0.3">
      <c r="A35" s="104"/>
      <c r="B35" s="164"/>
      <c r="C35" s="679" t="s">
        <v>284</v>
      </c>
      <c r="D35" s="890" t="s">
        <v>711</v>
      </c>
      <c r="E35" s="891"/>
      <c r="F35" s="891"/>
      <c r="G35" s="891"/>
      <c r="H35" s="891"/>
      <c r="I35" s="891"/>
      <c r="J35" s="891"/>
      <c r="K35" s="891"/>
      <c r="L35" s="891"/>
      <c r="M35" s="891"/>
      <c r="N35" s="104"/>
    </row>
    <row r="36" spans="1:14" ht="18" customHeight="1" x14ac:dyDescent="0.3">
      <c r="A36" s="104"/>
      <c r="B36" s="164"/>
      <c r="C36" s="38"/>
      <c r="D36" s="680" t="s">
        <v>78</v>
      </c>
      <c r="E36" s="523"/>
      <c r="F36" s="523"/>
      <c r="G36" s="523"/>
      <c r="H36" s="523"/>
      <c r="I36" s="523"/>
      <c r="J36" s="575"/>
      <c r="K36" s="35"/>
      <c r="L36" s="35"/>
      <c r="M36" s="35"/>
      <c r="N36" s="104"/>
    </row>
    <row r="37" spans="1:14" ht="18" customHeight="1" thickBot="1" x14ac:dyDescent="0.35">
      <c r="A37" s="104"/>
      <c r="B37" s="464"/>
      <c r="C37" s="465"/>
      <c r="D37" s="681"/>
      <c r="E37" s="682"/>
      <c r="F37" s="682"/>
      <c r="G37" s="682"/>
      <c r="H37" s="682"/>
      <c r="I37" s="682"/>
      <c r="J37" s="683"/>
      <c r="K37" s="97"/>
      <c r="L37" s="97"/>
      <c r="M37" s="97"/>
      <c r="N37" s="111"/>
    </row>
    <row r="38" spans="1:14" ht="14.4" thickTop="1" x14ac:dyDescent="0.3"/>
  </sheetData>
  <customSheetViews>
    <customSheetView guid="{E748B311-90F6-4A4B-A4FB-821E74008EC3}" scale="75" showPageBreaks="1" fitToPage="1" printArea="1" showRuler="0" topLeftCell="A11">
      <selection activeCell="H84" sqref="H84"/>
      <pageMargins left="0.75" right="0.75" top="1" bottom="1" header="0.5" footer="0.5"/>
      <printOptions horizontalCentered="1"/>
      <pageSetup scale="54" fitToHeight="3" orientation="landscape" r:id="rId1"/>
      <headerFooter alignWithMargins="0"/>
    </customSheetView>
  </customSheetViews>
  <mergeCells count="11">
    <mergeCell ref="B1:M1"/>
    <mergeCell ref="B5:G5"/>
    <mergeCell ref="B7:G7"/>
    <mergeCell ref="B9:G9"/>
    <mergeCell ref="D35:M35"/>
    <mergeCell ref="B13:C13"/>
    <mergeCell ref="B14:C14"/>
    <mergeCell ref="G33:I33"/>
    <mergeCell ref="I19:J19"/>
    <mergeCell ref="E19:F19"/>
    <mergeCell ref="G19:H19"/>
  </mergeCells>
  <phoneticPr fontId="26" type="noConversion"/>
  <printOptions horizontalCentered="1"/>
  <pageMargins left="0.75" right="0.75" top="1" bottom="1" header="0.5" footer="0.5"/>
  <pageSetup scale="54" fitToHeight="3" orientation="landscape" r:id="rId2"/>
  <headerFooter alignWithMargins="0">
    <oddHeader>&amp;L&amp;D&amp;R&amp;F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6803-7601-4A82-B36B-A4BF13371BF3}">
  <sheetPr>
    <pageSetUpPr fitToPage="1"/>
  </sheetPr>
  <dimension ref="A1:Q15"/>
  <sheetViews>
    <sheetView workbookViewId="0"/>
  </sheetViews>
  <sheetFormatPr defaultRowHeight="14.4" x14ac:dyDescent="0.3"/>
  <cols>
    <col min="1" max="1" width="18.33203125" style="699" customWidth="1"/>
    <col min="2" max="16384" width="8.88671875" style="699"/>
  </cols>
  <sheetData>
    <row r="1" spans="1:17" ht="16.2" thickBot="1" x14ac:dyDescent="0.35">
      <c r="A1" s="698" t="s">
        <v>532</v>
      </c>
    </row>
    <row r="2" spans="1:17" x14ac:dyDescent="0.3">
      <c r="A2" s="700"/>
      <c r="B2" s="701"/>
      <c r="C2" s="894" t="s">
        <v>533</v>
      </c>
      <c r="D2" s="895"/>
      <c r="E2" s="895"/>
      <c r="F2" s="895"/>
      <c r="G2" s="896"/>
      <c r="H2" s="894" t="s">
        <v>534</v>
      </c>
      <c r="I2" s="895"/>
      <c r="J2" s="895"/>
      <c r="K2" s="895"/>
      <c r="L2" s="896"/>
      <c r="M2" s="894" t="s">
        <v>535</v>
      </c>
      <c r="N2" s="895"/>
      <c r="O2" s="895"/>
      <c r="P2" s="895"/>
      <c r="Q2" s="896"/>
    </row>
    <row r="3" spans="1:17" ht="28.8" customHeight="1" x14ac:dyDescent="0.3">
      <c r="A3" s="707" t="s">
        <v>536</v>
      </c>
      <c r="B3" s="708" t="s">
        <v>537</v>
      </c>
      <c r="C3" s="709" t="s">
        <v>538</v>
      </c>
      <c r="D3" s="710" t="s">
        <v>539</v>
      </c>
      <c r="E3" s="710" t="s">
        <v>540</v>
      </c>
      <c r="F3" s="710" t="s">
        <v>541</v>
      </c>
      <c r="G3" s="711" t="s">
        <v>542</v>
      </c>
      <c r="H3" s="709" t="s">
        <v>538</v>
      </c>
      <c r="I3" s="710" t="s">
        <v>539</v>
      </c>
      <c r="J3" s="710" t="s">
        <v>540</v>
      </c>
      <c r="K3" s="710" t="s">
        <v>541</v>
      </c>
      <c r="L3" s="711" t="s">
        <v>542</v>
      </c>
      <c r="M3" s="709" t="s">
        <v>538</v>
      </c>
      <c r="N3" s="710" t="s">
        <v>539</v>
      </c>
      <c r="O3" s="710" t="s">
        <v>540</v>
      </c>
      <c r="P3" s="710" t="s">
        <v>541</v>
      </c>
      <c r="Q3" s="711" t="s">
        <v>542</v>
      </c>
    </row>
    <row r="4" spans="1:17" ht="15.6" x14ac:dyDescent="0.3">
      <c r="A4" s="712" t="s">
        <v>543</v>
      </c>
      <c r="B4" s="713" t="s">
        <v>544</v>
      </c>
      <c r="C4" s="727">
        <v>1</v>
      </c>
      <c r="D4" s="713">
        <v>1</v>
      </c>
      <c r="E4" s="713">
        <v>1</v>
      </c>
      <c r="F4" s="713">
        <v>1</v>
      </c>
      <c r="G4" s="728">
        <v>1</v>
      </c>
      <c r="H4" s="733">
        <v>1</v>
      </c>
      <c r="I4" s="714">
        <v>1</v>
      </c>
      <c r="J4" s="714">
        <v>1</v>
      </c>
      <c r="K4" s="714">
        <v>1</v>
      </c>
      <c r="L4" s="715">
        <v>1</v>
      </c>
      <c r="M4" s="714">
        <v>1</v>
      </c>
      <c r="N4" s="714">
        <v>1</v>
      </c>
      <c r="O4" s="714">
        <v>1</v>
      </c>
      <c r="P4" s="714"/>
      <c r="Q4" s="715">
        <v>1</v>
      </c>
    </row>
    <row r="5" spans="1:17" ht="15.6" x14ac:dyDescent="0.3">
      <c r="A5" s="716" t="s">
        <v>545</v>
      </c>
      <c r="B5" s="717" t="s">
        <v>546</v>
      </c>
      <c r="C5" s="729">
        <v>56</v>
      </c>
      <c r="D5" s="717">
        <v>62</v>
      </c>
      <c r="E5" s="717">
        <v>72</v>
      </c>
      <c r="F5" s="717">
        <v>84</v>
      </c>
      <c r="G5" s="730">
        <v>81.2</v>
      </c>
      <c r="H5" s="734">
        <v>21</v>
      </c>
      <c r="I5" s="718">
        <v>23</v>
      </c>
      <c r="J5" s="718">
        <v>25</v>
      </c>
      <c r="K5" s="718">
        <v>28</v>
      </c>
      <c r="L5" s="719">
        <v>27.9</v>
      </c>
      <c r="M5" s="718">
        <v>6.5</v>
      </c>
      <c r="N5" s="718">
        <v>7</v>
      </c>
      <c r="O5" s="718">
        <v>7.6</v>
      </c>
      <c r="P5" s="718"/>
      <c r="Q5" s="719">
        <v>7.95</v>
      </c>
    </row>
    <row r="6" spans="1:17" ht="28.8" x14ac:dyDescent="0.3">
      <c r="A6" s="716" t="s">
        <v>547</v>
      </c>
      <c r="B6" s="717" t="s">
        <v>546</v>
      </c>
      <c r="C6" s="729"/>
      <c r="D6" s="717"/>
      <c r="E6" s="717"/>
      <c r="F6" s="717">
        <v>85</v>
      </c>
      <c r="G6" s="730">
        <v>82.5</v>
      </c>
      <c r="H6" s="734"/>
      <c r="I6" s="718"/>
      <c r="J6" s="718"/>
      <c r="K6" s="718">
        <v>30</v>
      </c>
      <c r="L6" s="719">
        <v>29.8</v>
      </c>
      <c r="M6" s="718"/>
      <c r="N6" s="718"/>
      <c r="O6" s="718"/>
      <c r="P6" s="720"/>
      <c r="Q6" s="721">
        <v>10</v>
      </c>
    </row>
    <row r="7" spans="1:17" ht="28.8" x14ac:dyDescent="0.3">
      <c r="A7" s="716" t="s">
        <v>548</v>
      </c>
      <c r="B7" s="717" t="s">
        <v>546</v>
      </c>
      <c r="C7" s="729"/>
      <c r="D7" s="717"/>
      <c r="E7" s="717"/>
      <c r="F7" s="717"/>
      <c r="G7" s="730">
        <v>80.8</v>
      </c>
      <c r="H7" s="734"/>
      <c r="I7" s="718"/>
      <c r="J7" s="718"/>
      <c r="K7" s="718"/>
      <c r="L7" s="719">
        <v>27.2</v>
      </c>
      <c r="M7" s="718"/>
      <c r="N7" s="718"/>
      <c r="O7" s="718"/>
      <c r="P7" s="720"/>
      <c r="Q7" s="719">
        <v>7.3</v>
      </c>
    </row>
    <row r="8" spans="1:17" ht="15.6" x14ac:dyDescent="0.3">
      <c r="A8" s="722" t="s">
        <v>549</v>
      </c>
      <c r="B8" s="723" t="s">
        <v>550</v>
      </c>
      <c r="C8" s="731">
        <v>280</v>
      </c>
      <c r="D8" s="723">
        <v>275</v>
      </c>
      <c r="E8" s="723">
        <v>289</v>
      </c>
      <c r="F8" s="723">
        <v>264</v>
      </c>
      <c r="G8" s="732">
        <v>273</v>
      </c>
      <c r="H8" s="735">
        <v>310</v>
      </c>
      <c r="I8" s="724">
        <v>296</v>
      </c>
      <c r="J8" s="725">
        <v>298</v>
      </c>
      <c r="K8" s="724">
        <v>265</v>
      </c>
      <c r="L8" s="726">
        <v>273</v>
      </c>
      <c r="M8" s="724">
        <v>170</v>
      </c>
      <c r="N8" s="724">
        <v>156</v>
      </c>
      <c r="O8" s="725">
        <v>153</v>
      </c>
      <c r="P8" s="724"/>
      <c r="Q8" s="726">
        <v>130</v>
      </c>
    </row>
    <row r="10" spans="1:17" ht="28.8" x14ac:dyDescent="0.3">
      <c r="A10" s="703" t="s">
        <v>551</v>
      </c>
      <c r="B10" s="704" t="s">
        <v>552</v>
      </c>
      <c r="C10" s="705" t="s">
        <v>553</v>
      </c>
    </row>
    <row r="11" spans="1:17" x14ac:dyDescent="0.3">
      <c r="A11" s="699" t="s">
        <v>542</v>
      </c>
      <c r="B11" s="702">
        <v>2021</v>
      </c>
      <c r="C11" s="706" t="s">
        <v>554</v>
      </c>
      <c r="D11" s="706"/>
    </row>
    <row r="12" spans="1:17" x14ac:dyDescent="0.3">
      <c r="A12" s="699" t="s">
        <v>541</v>
      </c>
      <c r="B12" s="702">
        <v>2013</v>
      </c>
      <c r="C12" s="706" t="s">
        <v>555</v>
      </c>
      <c r="D12" s="706"/>
    </row>
    <row r="13" spans="1:17" x14ac:dyDescent="0.3">
      <c r="A13" s="699" t="s">
        <v>540</v>
      </c>
      <c r="B13" s="702">
        <v>2007</v>
      </c>
      <c r="C13" s="706" t="s">
        <v>556</v>
      </c>
      <c r="D13" s="706"/>
    </row>
    <row r="14" spans="1:17" x14ac:dyDescent="0.3">
      <c r="A14" s="699" t="s">
        <v>539</v>
      </c>
      <c r="B14" s="702">
        <v>2001</v>
      </c>
      <c r="C14" s="706" t="s">
        <v>557</v>
      </c>
      <c r="D14" s="706"/>
    </row>
    <row r="15" spans="1:17" x14ac:dyDescent="0.3">
      <c r="A15" s="699" t="s">
        <v>538</v>
      </c>
      <c r="B15" s="702">
        <v>1996</v>
      </c>
      <c r="C15" s="706" t="s">
        <v>558</v>
      </c>
      <c r="D15" s="706"/>
    </row>
  </sheetData>
  <mergeCells count="3">
    <mergeCell ref="C2:G2"/>
    <mergeCell ref="H2:L2"/>
    <mergeCell ref="M2:Q2"/>
  </mergeCells>
  <hyperlinks>
    <hyperlink ref="C11" r:id="rId1" xr:uid="{E4C9C59B-EC90-4A59-AF3F-48A1FCCC6C6D}"/>
    <hyperlink ref="C12" r:id="rId2" xr:uid="{7F31FC02-AD89-4F08-AE4C-4206D922D067}"/>
    <hyperlink ref="C13" r:id="rId3" xr:uid="{635784A4-8A10-4DFC-9585-4014590F19B3}"/>
    <hyperlink ref="C15" r:id="rId4" xr:uid="{4C56AE84-971C-4B03-9F3D-55D5A991747E}"/>
  </hyperlinks>
  <pageMargins left="0.7" right="0.7" top="0.75" bottom="0.75" header="0.3" footer="0.3"/>
  <pageSetup scale="91" orientation="landscape"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FA97-82E7-4CB3-BBB7-FA6D0545C415}">
  <dimension ref="A1:D5"/>
  <sheetViews>
    <sheetView workbookViewId="0">
      <pane ySplit="1" topLeftCell="A2" activePane="bottomLeft" state="frozen"/>
      <selection pane="bottomLeft"/>
    </sheetView>
  </sheetViews>
  <sheetFormatPr defaultRowHeight="13.8" x14ac:dyDescent="0.3"/>
  <cols>
    <col min="1" max="1" width="8.88671875" style="9"/>
    <col min="2" max="2" width="98.33203125" style="9" bestFit="1" customWidth="1"/>
    <col min="3" max="3" width="11.44140625" style="9" bestFit="1" customWidth="1"/>
    <col min="4" max="4" width="9.5546875" style="9" bestFit="1" customWidth="1"/>
    <col min="5" max="16384" width="8.88671875" style="9"/>
  </cols>
  <sheetData>
    <row r="1" spans="1:4" x14ac:dyDescent="0.3">
      <c r="A1" s="748" t="s">
        <v>717</v>
      </c>
      <c r="B1" s="749" t="s">
        <v>718</v>
      </c>
      <c r="C1" s="752" t="s">
        <v>720</v>
      </c>
      <c r="D1" s="753" t="s">
        <v>722</v>
      </c>
    </row>
    <row r="2" spans="1:4" x14ac:dyDescent="0.3">
      <c r="A2" s="750">
        <v>1.1000000000000001</v>
      </c>
      <c r="B2" s="9" t="s">
        <v>723</v>
      </c>
      <c r="C2" s="9" t="s">
        <v>721</v>
      </c>
      <c r="D2" s="751">
        <v>44602</v>
      </c>
    </row>
    <row r="3" spans="1:4" x14ac:dyDescent="0.3">
      <c r="B3" s="9" t="s">
        <v>724</v>
      </c>
      <c r="C3" s="9" t="s">
        <v>721</v>
      </c>
      <c r="D3" s="751">
        <v>44602</v>
      </c>
    </row>
    <row r="4" spans="1:4" x14ac:dyDescent="0.3">
      <c r="B4" s="9" t="s">
        <v>719</v>
      </c>
      <c r="C4" s="9" t="s">
        <v>721</v>
      </c>
      <c r="D4" s="751">
        <v>44621</v>
      </c>
    </row>
    <row r="5" spans="1:4" x14ac:dyDescent="0.3">
      <c r="B5" s="9" t="s">
        <v>725</v>
      </c>
      <c r="C5" s="9" t="s">
        <v>721</v>
      </c>
      <c r="D5" s="751">
        <v>44621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25"/>
  <sheetViews>
    <sheetView zoomScale="75" zoomScaleNormal="75" workbookViewId="0">
      <pane ySplit="2" topLeftCell="A3" activePane="bottomLeft" state="frozen"/>
      <selection activeCell="I13" sqref="I13"/>
      <selection pane="bottomLeft"/>
    </sheetView>
  </sheetViews>
  <sheetFormatPr defaultColWidth="11.44140625" defaultRowHeight="13.2" x14ac:dyDescent="0.25"/>
  <cols>
    <col min="1" max="1" width="4.44140625" customWidth="1"/>
    <col min="2" max="2" width="5" customWidth="1"/>
    <col min="3" max="3" width="34.33203125" customWidth="1"/>
    <col min="4" max="5" width="11.44140625" customWidth="1"/>
    <col min="6" max="6" width="25.88671875" customWidth="1"/>
    <col min="7" max="7" width="11.44140625" customWidth="1"/>
    <col min="8" max="8" width="55.5546875" customWidth="1"/>
    <col min="9" max="9" width="22.33203125" customWidth="1"/>
  </cols>
  <sheetData>
    <row r="1" spans="2:11" s="1" customFormat="1" ht="23.25" customHeight="1" thickBot="1" x14ac:dyDescent="0.4">
      <c r="B1" s="86" t="s">
        <v>578</v>
      </c>
      <c r="C1" s="84"/>
      <c r="D1" s="85"/>
      <c r="E1" s="85"/>
      <c r="F1" s="85"/>
      <c r="G1" s="85"/>
      <c r="H1" s="85"/>
    </row>
    <row r="2" spans="2:11" s="2" customFormat="1" ht="32.25" customHeight="1" x14ac:dyDescent="0.3">
      <c r="B2" s="51"/>
      <c r="C2" s="52" t="s">
        <v>490</v>
      </c>
      <c r="D2" s="52" t="s">
        <v>491</v>
      </c>
      <c r="E2" s="53"/>
      <c r="F2" s="53"/>
      <c r="G2" s="53"/>
      <c r="H2" s="54"/>
    </row>
    <row r="3" spans="2:11" s="2" customFormat="1" ht="18" customHeight="1" x14ac:dyDescent="0.3">
      <c r="B3" s="37"/>
      <c r="C3" s="55"/>
      <c r="D3" s="38"/>
      <c r="E3" s="38"/>
      <c r="F3" s="38"/>
      <c r="G3" s="38"/>
      <c r="H3" s="39"/>
    </row>
    <row r="4" spans="2:11" s="2" customFormat="1" ht="18" customHeight="1" x14ac:dyDescent="0.3">
      <c r="B4" s="37"/>
      <c r="C4" s="41" t="s">
        <v>64</v>
      </c>
      <c r="D4" s="41"/>
      <c r="E4" s="41"/>
      <c r="F4" s="41"/>
      <c r="G4" s="41"/>
      <c r="H4" s="56"/>
    </row>
    <row r="5" spans="2:11" s="2" customFormat="1" ht="18" customHeight="1" x14ac:dyDescent="0.3">
      <c r="B5" s="37"/>
      <c r="C5" s="41" t="s">
        <v>65</v>
      </c>
      <c r="D5" s="41"/>
      <c r="E5" s="41"/>
      <c r="F5" s="41"/>
      <c r="G5" s="41"/>
      <c r="H5" s="56"/>
    </row>
    <row r="6" spans="2:11" s="2" customFormat="1" ht="18" customHeight="1" x14ac:dyDescent="0.3">
      <c r="B6" s="37"/>
      <c r="C6" s="41" t="s">
        <v>88</v>
      </c>
      <c r="D6" s="41" t="s">
        <v>305</v>
      </c>
      <c r="E6" s="41"/>
      <c r="F6" s="41"/>
      <c r="G6" s="41"/>
      <c r="H6" s="56"/>
    </row>
    <row r="7" spans="2:11" s="4" customFormat="1" ht="39" customHeight="1" x14ac:dyDescent="0.25">
      <c r="B7" s="57"/>
      <c r="C7" s="41" t="s">
        <v>89</v>
      </c>
      <c r="D7" s="768" t="s">
        <v>572</v>
      </c>
      <c r="E7" s="768"/>
      <c r="F7" s="768"/>
      <c r="G7" s="768"/>
      <c r="H7" s="769"/>
      <c r="I7" s="6"/>
    </row>
    <row r="8" spans="2:11" s="4" customFormat="1" ht="18" customHeight="1" x14ac:dyDescent="0.25">
      <c r="B8" s="57"/>
      <c r="C8" s="41" t="s">
        <v>42</v>
      </c>
      <c r="D8" s="47" t="s">
        <v>573</v>
      </c>
      <c r="E8" s="47"/>
      <c r="F8" s="47"/>
      <c r="G8" s="47"/>
      <c r="H8" s="48"/>
      <c r="I8" s="6"/>
    </row>
    <row r="9" spans="2:11" s="4" customFormat="1" ht="18" customHeight="1" x14ac:dyDescent="0.25">
      <c r="B9" s="57"/>
      <c r="C9" s="41" t="s">
        <v>43</v>
      </c>
      <c r="D9" s="47" t="s">
        <v>574</v>
      </c>
      <c r="E9" s="47"/>
      <c r="F9" s="47"/>
      <c r="G9" s="47"/>
      <c r="H9" s="48"/>
      <c r="I9" s="6"/>
    </row>
    <row r="10" spans="2:11" s="4" customFormat="1" ht="18" customHeight="1" x14ac:dyDescent="0.25">
      <c r="B10" s="57"/>
      <c r="C10" s="41" t="s">
        <v>107</v>
      </c>
      <c r="D10" s="767" t="s">
        <v>304</v>
      </c>
      <c r="E10" s="767"/>
      <c r="F10" s="767"/>
      <c r="G10" s="767"/>
      <c r="H10" s="770"/>
      <c r="I10" s="6"/>
    </row>
    <row r="11" spans="2:11" s="4" customFormat="1" ht="18" customHeight="1" x14ac:dyDescent="0.25">
      <c r="B11" s="57"/>
      <c r="C11" s="41" t="s">
        <v>108</v>
      </c>
      <c r="D11" s="767" t="s">
        <v>302</v>
      </c>
      <c r="E11" s="767"/>
      <c r="F11" s="767"/>
      <c r="G11" s="767"/>
      <c r="H11" s="770"/>
      <c r="I11" s="6"/>
    </row>
    <row r="12" spans="2:11" s="4" customFormat="1" ht="18" customHeight="1" x14ac:dyDescent="0.25">
      <c r="B12" s="57"/>
      <c r="C12" s="41" t="s">
        <v>109</v>
      </c>
      <c r="D12" s="767" t="s">
        <v>276</v>
      </c>
      <c r="E12" s="767"/>
      <c r="F12" s="767"/>
      <c r="G12" s="767"/>
      <c r="H12" s="770"/>
      <c r="I12" s="6"/>
    </row>
    <row r="13" spans="2:11" s="4" customFormat="1" ht="18" customHeight="1" x14ac:dyDescent="0.25">
      <c r="B13" s="57"/>
      <c r="C13" s="41" t="s">
        <v>110</v>
      </c>
      <c r="D13" s="47" t="s">
        <v>102</v>
      </c>
      <c r="E13" s="47"/>
      <c r="F13" s="47"/>
      <c r="G13" s="47"/>
      <c r="H13" s="48"/>
      <c r="I13" s="6"/>
    </row>
    <row r="14" spans="2:11" s="3" customFormat="1" ht="18" customHeight="1" x14ac:dyDescent="0.3">
      <c r="B14" s="37"/>
      <c r="C14" s="41" t="s">
        <v>492</v>
      </c>
      <c r="D14" s="767" t="s">
        <v>497</v>
      </c>
      <c r="E14" s="767"/>
      <c r="F14" s="767"/>
      <c r="G14" s="767"/>
      <c r="H14" s="48"/>
      <c r="I14" s="6"/>
      <c r="J14" s="4"/>
      <c r="K14" s="4"/>
    </row>
    <row r="15" spans="2:11" s="3" customFormat="1" ht="18" customHeight="1" x14ac:dyDescent="0.3">
      <c r="B15" s="37"/>
      <c r="C15" s="41" t="s">
        <v>515</v>
      </c>
      <c r="D15" s="767" t="s">
        <v>516</v>
      </c>
      <c r="E15" s="767"/>
      <c r="F15" s="767"/>
      <c r="G15" s="47"/>
      <c r="H15" s="48"/>
      <c r="I15" s="6"/>
      <c r="J15" s="4"/>
      <c r="K15" s="4"/>
    </row>
    <row r="16" spans="2:11" s="3" customFormat="1" ht="18" customHeight="1" x14ac:dyDescent="0.3">
      <c r="B16" s="37"/>
      <c r="C16" s="41" t="s">
        <v>344</v>
      </c>
      <c r="D16" s="47" t="s">
        <v>113</v>
      </c>
      <c r="E16" s="47"/>
      <c r="F16" s="47"/>
      <c r="G16" s="47"/>
      <c r="H16" s="48"/>
      <c r="I16" s="6"/>
      <c r="J16" s="4"/>
      <c r="K16" s="4"/>
    </row>
    <row r="17" spans="2:11" s="3" customFormat="1" ht="18" customHeight="1" x14ac:dyDescent="0.25">
      <c r="B17" s="57"/>
      <c r="C17" s="41" t="s">
        <v>285</v>
      </c>
      <c r="D17" s="47" t="s">
        <v>575</v>
      </c>
      <c r="E17" s="47"/>
      <c r="F17" s="47"/>
      <c r="G17" s="47"/>
      <c r="H17" s="48"/>
      <c r="I17" s="6"/>
      <c r="J17" s="4"/>
      <c r="K17" s="4"/>
    </row>
    <row r="18" spans="2:11" s="3" customFormat="1" ht="18" customHeight="1" x14ac:dyDescent="0.25">
      <c r="B18" s="57"/>
      <c r="C18" s="41" t="s">
        <v>576</v>
      </c>
      <c r="D18" s="47" t="s">
        <v>577</v>
      </c>
      <c r="E18" s="47"/>
      <c r="F18" s="47"/>
      <c r="G18" s="47"/>
      <c r="H18" s="48"/>
      <c r="I18" s="7"/>
      <c r="J18" s="4"/>
      <c r="K18" s="4"/>
    </row>
    <row r="19" spans="2:11" s="3" customFormat="1" ht="18" customHeight="1" thickBot="1" x14ac:dyDescent="0.35">
      <c r="B19" s="58"/>
      <c r="C19" s="59"/>
      <c r="D19" s="49"/>
      <c r="E19" s="49"/>
      <c r="F19" s="49"/>
      <c r="G19" s="49"/>
      <c r="H19" s="50"/>
      <c r="I19" s="6"/>
      <c r="J19" s="4"/>
      <c r="K19" s="4"/>
    </row>
    <row r="20" spans="2:11" s="3" customFormat="1" ht="18" customHeight="1" x14ac:dyDescent="0.25">
      <c r="C20" s="5"/>
      <c r="D20" s="766"/>
      <c r="E20" s="766"/>
      <c r="F20" s="766"/>
      <c r="G20" s="766"/>
      <c r="H20" s="766"/>
      <c r="I20" s="766"/>
    </row>
    <row r="21" spans="2:11" s="3" customFormat="1" ht="18" customHeight="1" x14ac:dyDescent="0.25">
      <c r="C21" s="5"/>
      <c r="D21" s="766"/>
      <c r="E21" s="766"/>
      <c r="F21" s="766"/>
      <c r="G21" s="766"/>
      <c r="H21" s="766"/>
      <c r="I21" s="766"/>
    </row>
    <row r="22" spans="2:11" s="3" customFormat="1" ht="18" customHeight="1" x14ac:dyDescent="0.25">
      <c r="C22" s="5"/>
      <c r="D22" s="766"/>
      <c r="E22" s="766"/>
      <c r="F22" s="766"/>
      <c r="G22" s="766"/>
      <c r="H22" s="766"/>
      <c r="I22" s="766"/>
    </row>
    <row r="23" spans="2:11" s="3" customFormat="1" ht="18" customHeight="1" x14ac:dyDescent="0.25">
      <c r="C23" s="5"/>
      <c r="D23" s="766"/>
      <c r="E23" s="766"/>
      <c r="F23" s="766"/>
      <c r="G23" s="766"/>
      <c r="H23" s="766"/>
      <c r="I23" s="766"/>
    </row>
    <row r="24" spans="2:11" ht="18" customHeight="1" x14ac:dyDescent="0.25"/>
    <row r="25" spans="2:11" ht="15" customHeight="1" x14ac:dyDescent="0.25"/>
  </sheetData>
  <customSheetViews>
    <customSheetView guid="{E748B311-90F6-4A4B-A4FB-821E74008EC3}" scale="75" showPageBreaks="1" fitToPage="1" printArea="1" showRuler="0">
      <pane ySplit="2" topLeftCell="A3" activePane="bottomLeft" state="frozen"/>
      <selection pane="bottomLeft"/>
      <pageMargins left="0.75" right="0.75" top="1" bottom="1" header="0.4921259845" footer="0.4921259845"/>
      <pageSetup paperSize="9" scale="58" orientation="portrait" horizontalDpi="4294967292" r:id="rId1"/>
      <headerFooter alignWithMargins="0"/>
    </customSheetView>
  </customSheetViews>
  <mergeCells count="10">
    <mergeCell ref="D7:H7"/>
    <mergeCell ref="D11:H11"/>
    <mergeCell ref="D12:H12"/>
    <mergeCell ref="D10:H10"/>
    <mergeCell ref="D14:G14"/>
    <mergeCell ref="D23:I23"/>
    <mergeCell ref="D15:F15"/>
    <mergeCell ref="D20:I20"/>
    <mergeCell ref="D21:I21"/>
    <mergeCell ref="D22:I22"/>
  </mergeCells>
  <phoneticPr fontId="26" type="noConversion"/>
  <pageMargins left="0.75" right="0.75" top="1" bottom="1" header="0.4921259845" footer="0.4921259845"/>
  <pageSetup scale="49" orientation="portrait" horizontalDpi="4294967292"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47"/>
  <sheetViews>
    <sheetView zoomScale="75" workbookViewId="0"/>
  </sheetViews>
  <sheetFormatPr defaultRowHeight="13.8" x14ac:dyDescent="0.3"/>
  <cols>
    <col min="1" max="1" width="4" style="9" customWidth="1"/>
    <col min="2" max="2" width="9" style="9" customWidth="1"/>
    <col min="3" max="5" width="9.109375" style="9" hidden="1" customWidth="1"/>
    <col min="6" max="6" width="67.33203125" style="9" customWidth="1"/>
    <col min="7" max="7" width="30.6640625" style="81" customWidth="1"/>
    <col min="8" max="16384" width="8.88671875" style="9"/>
  </cols>
  <sheetData>
    <row r="1" spans="2:8" ht="18" x14ac:dyDescent="0.35">
      <c r="B1" s="86" t="s">
        <v>579</v>
      </c>
    </row>
    <row r="2" spans="2:8" ht="28.5" customHeight="1" x14ac:dyDescent="0.3">
      <c r="B2" s="771" t="s">
        <v>179</v>
      </c>
      <c r="C2" s="772"/>
      <c r="D2" s="772"/>
      <c r="E2" s="772"/>
      <c r="F2" s="772"/>
      <c r="G2" s="772"/>
      <c r="H2" s="772"/>
    </row>
    <row r="3" spans="2:8" ht="17.25" customHeight="1" x14ac:dyDescent="0.3">
      <c r="B3" s="60"/>
      <c r="C3" s="61"/>
      <c r="D3" s="61"/>
      <c r="E3" s="61"/>
      <c r="F3" s="62" t="s">
        <v>60</v>
      </c>
      <c r="G3" s="28"/>
      <c r="H3" s="61"/>
    </row>
    <row r="4" spans="2:8" ht="27" customHeight="1" thickBot="1" x14ac:dyDescent="0.35">
      <c r="B4" s="11"/>
      <c r="C4" s="11"/>
      <c r="D4" s="11"/>
      <c r="E4" s="11"/>
      <c r="F4" s="63"/>
      <c r="G4" s="63"/>
    </row>
    <row r="5" spans="2:8" ht="27" customHeight="1" thickTop="1" x14ac:dyDescent="0.4">
      <c r="B5" s="775" t="s">
        <v>308</v>
      </c>
      <c r="C5" s="776"/>
      <c r="D5" s="776"/>
      <c r="E5" s="776"/>
      <c r="F5" s="776"/>
      <c r="G5" s="64"/>
      <c r="H5" s="65"/>
    </row>
    <row r="6" spans="2:8" ht="17.25" customHeight="1" x14ac:dyDescent="0.3">
      <c r="B6" s="82"/>
      <c r="C6" s="69"/>
      <c r="D6" s="69"/>
      <c r="E6" s="69"/>
      <c r="F6" s="69"/>
      <c r="G6" s="66"/>
      <c r="H6" s="67"/>
    </row>
    <row r="7" spans="2:8" ht="14.25" customHeight="1" x14ac:dyDescent="0.3">
      <c r="B7" s="68"/>
      <c r="C7" s="66"/>
      <c r="D7" s="66"/>
      <c r="E7" s="66"/>
      <c r="F7" s="69" t="s">
        <v>332</v>
      </c>
      <c r="G7" s="66"/>
      <c r="H7" s="67"/>
    </row>
    <row r="8" spans="2:8" ht="18" customHeight="1" x14ac:dyDescent="0.3">
      <c r="B8" s="68"/>
      <c r="C8" s="66"/>
      <c r="D8" s="66"/>
      <c r="E8" s="66"/>
      <c r="F8" s="777"/>
      <c r="G8" s="778"/>
      <c r="H8" s="70"/>
    </row>
    <row r="9" spans="2:8" ht="25.5" customHeight="1" x14ac:dyDescent="0.3">
      <c r="B9" s="68"/>
      <c r="C9" s="66"/>
      <c r="D9" s="66"/>
      <c r="E9" s="66"/>
      <c r="F9" s="773" t="s">
        <v>57</v>
      </c>
      <c r="G9" s="774"/>
      <c r="H9" s="67"/>
    </row>
    <row r="10" spans="2:8" ht="78" customHeight="1" x14ac:dyDescent="0.3">
      <c r="B10" s="68"/>
      <c r="C10" s="66"/>
      <c r="D10" s="66"/>
      <c r="E10" s="66"/>
      <c r="F10" s="777"/>
      <c r="G10" s="778"/>
      <c r="H10" s="70"/>
    </row>
    <row r="11" spans="2:8" ht="15.75" customHeight="1" x14ac:dyDescent="0.3">
      <c r="B11" s="68"/>
      <c r="C11" s="66"/>
      <c r="D11" s="66"/>
      <c r="E11" s="66"/>
      <c r="F11" s="71"/>
      <c r="G11" s="72"/>
      <c r="H11" s="67"/>
    </row>
    <row r="12" spans="2:8" ht="24" customHeight="1" x14ac:dyDescent="0.3">
      <c r="B12" s="68"/>
      <c r="C12" s="66"/>
      <c r="D12" s="66"/>
      <c r="E12" s="66"/>
      <c r="F12" s="73" t="s">
        <v>59</v>
      </c>
      <c r="G12" s="73"/>
      <c r="H12" s="67"/>
    </row>
    <row r="13" spans="2:8" ht="84" customHeight="1" x14ac:dyDescent="0.3">
      <c r="B13" s="68"/>
      <c r="C13" s="66"/>
      <c r="D13" s="66"/>
      <c r="E13" s="66"/>
      <c r="F13" s="777"/>
      <c r="G13" s="778"/>
      <c r="H13" s="67"/>
    </row>
    <row r="14" spans="2:8" ht="15.75" customHeight="1" x14ac:dyDescent="0.3">
      <c r="B14" s="68"/>
      <c r="C14" s="66"/>
      <c r="D14" s="66"/>
      <c r="E14" s="66"/>
      <c r="F14" s="71"/>
      <c r="G14" s="72"/>
      <c r="H14" s="67"/>
    </row>
    <row r="15" spans="2:8" ht="24" customHeight="1" x14ac:dyDescent="0.3">
      <c r="B15" s="68"/>
      <c r="C15" s="66"/>
      <c r="D15" s="66"/>
      <c r="E15" s="66"/>
      <c r="F15" s="780" t="s">
        <v>301</v>
      </c>
      <c r="G15" s="780"/>
      <c r="H15" s="67"/>
    </row>
    <row r="16" spans="2:8" ht="84" customHeight="1" x14ac:dyDescent="0.3">
      <c r="B16" s="68"/>
      <c r="C16" s="66"/>
      <c r="D16" s="66"/>
      <c r="E16" s="66"/>
      <c r="F16" s="777"/>
      <c r="G16" s="778"/>
      <c r="H16" s="67"/>
    </row>
    <row r="17" spans="2:8" ht="18" customHeight="1" x14ac:dyDescent="0.3">
      <c r="B17" s="68"/>
      <c r="C17" s="66"/>
      <c r="D17" s="66"/>
      <c r="E17" s="66"/>
      <c r="F17" s="66"/>
      <c r="G17" s="66"/>
      <c r="H17" s="67"/>
    </row>
    <row r="18" spans="2:8" ht="37.5" customHeight="1" thickBot="1" x14ac:dyDescent="0.35">
      <c r="B18" s="68"/>
      <c r="C18" s="66"/>
      <c r="D18" s="66"/>
      <c r="E18" s="66"/>
      <c r="F18" s="779" t="s">
        <v>232</v>
      </c>
      <c r="G18" s="779"/>
      <c r="H18" s="67"/>
    </row>
    <row r="19" spans="2:8" ht="51" customHeight="1" thickTop="1" thickBot="1" x14ac:dyDescent="0.35">
      <c r="B19" s="68"/>
      <c r="C19" s="66"/>
      <c r="D19" s="66"/>
      <c r="E19" s="66"/>
      <c r="F19" s="74" t="s">
        <v>531</v>
      </c>
      <c r="G19" s="75" t="s">
        <v>180</v>
      </c>
      <c r="H19" s="67"/>
    </row>
    <row r="20" spans="2:8" ht="14.4" thickTop="1" x14ac:dyDescent="0.3">
      <c r="B20" s="68"/>
      <c r="C20" s="66"/>
      <c r="D20" s="66"/>
      <c r="E20" s="66"/>
      <c r="F20" s="76" t="s">
        <v>517</v>
      </c>
      <c r="G20" s="83"/>
      <c r="H20" s="67"/>
    </row>
    <row r="21" spans="2:8" x14ac:dyDescent="0.3">
      <c r="B21" s="68"/>
      <c r="C21" s="66"/>
      <c r="D21" s="66"/>
      <c r="E21" s="66"/>
      <c r="F21" s="77" t="s">
        <v>235</v>
      </c>
      <c r="G21" s="83"/>
      <c r="H21" s="67"/>
    </row>
    <row r="22" spans="2:8" x14ac:dyDescent="0.3">
      <c r="B22" s="68"/>
      <c r="C22" s="66"/>
      <c r="D22" s="66"/>
      <c r="E22" s="66"/>
      <c r="F22" s="77" t="s">
        <v>518</v>
      </c>
      <c r="G22" s="83"/>
      <c r="H22" s="67"/>
    </row>
    <row r="23" spans="2:8" x14ac:dyDescent="0.3">
      <c r="B23" s="68"/>
      <c r="C23" s="66"/>
      <c r="D23" s="66"/>
      <c r="E23" s="66"/>
      <c r="F23" s="77" t="s">
        <v>519</v>
      </c>
      <c r="G23" s="83"/>
      <c r="H23" s="67"/>
    </row>
    <row r="24" spans="2:8" x14ac:dyDescent="0.3">
      <c r="B24" s="68"/>
      <c r="C24" s="66"/>
      <c r="D24" s="66"/>
      <c r="E24" s="66"/>
      <c r="F24" s="77" t="s">
        <v>520</v>
      </c>
      <c r="G24" s="83"/>
      <c r="H24" s="67"/>
    </row>
    <row r="25" spans="2:8" x14ac:dyDescent="0.3">
      <c r="B25" s="68"/>
      <c r="C25" s="66"/>
      <c r="D25" s="66"/>
      <c r="E25" s="66"/>
      <c r="F25" s="77" t="s">
        <v>79</v>
      </c>
      <c r="G25" s="83"/>
      <c r="H25" s="67"/>
    </row>
    <row r="26" spans="2:8" x14ac:dyDescent="0.3">
      <c r="B26" s="68"/>
      <c r="C26" s="66"/>
      <c r="D26" s="66"/>
      <c r="E26" s="66"/>
      <c r="F26" s="77" t="s">
        <v>237</v>
      </c>
      <c r="G26" s="83"/>
      <c r="H26" s="67"/>
    </row>
    <row r="27" spans="2:8" x14ac:dyDescent="0.3">
      <c r="B27" s="68"/>
      <c r="C27" s="66"/>
      <c r="D27" s="66"/>
      <c r="E27" s="66"/>
      <c r="F27" s="77" t="s">
        <v>238</v>
      </c>
      <c r="G27" s="83"/>
      <c r="H27" s="67"/>
    </row>
    <row r="28" spans="2:8" x14ac:dyDescent="0.3">
      <c r="B28" s="68"/>
      <c r="C28" s="66"/>
      <c r="D28" s="66"/>
      <c r="E28" s="66"/>
      <c r="F28" s="77" t="s">
        <v>523</v>
      </c>
      <c r="G28" s="83"/>
      <c r="H28" s="67"/>
    </row>
    <row r="29" spans="2:8" x14ac:dyDescent="0.3">
      <c r="B29" s="68"/>
      <c r="C29" s="66"/>
      <c r="D29" s="66"/>
      <c r="E29" s="66"/>
      <c r="F29" s="77" t="s">
        <v>521</v>
      </c>
      <c r="G29" s="83"/>
      <c r="H29" s="67"/>
    </row>
    <row r="30" spans="2:8" x14ac:dyDescent="0.3">
      <c r="B30" s="68"/>
      <c r="C30" s="66"/>
      <c r="D30" s="66"/>
      <c r="E30" s="66"/>
      <c r="F30" s="77" t="s">
        <v>522</v>
      </c>
      <c r="G30" s="83"/>
      <c r="H30" s="67"/>
    </row>
    <row r="31" spans="2:8" x14ac:dyDescent="0.3">
      <c r="B31" s="68"/>
      <c r="C31" s="66"/>
      <c r="D31" s="66"/>
      <c r="E31" s="66"/>
      <c r="F31" s="77" t="s">
        <v>236</v>
      </c>
      <c r="G31" s="83"/>
      <c r="H31" s="67"/>
    </row>
    <row r="32" spans="2:8" x14ac:dyDescent="0.3">
      <c r="B32" s="68"/>
      <c r="C32" s="66"/>
      <c r="D32" s="66"/>
      <c r="E32" s="66"/>
      <c r="F32" s="77" t="s">
        <v>524</v>
      </c>
      <c r="G32" s="83"/>
      <c r="H32" s="67"/>
    </row>
    <row r="33" spans="2:8" x14ac:dyDescent="0.3">
      <c r="B33" s="68"/>
      <c r="C33" s="66"/>
      <c r="D33" s="66"/>
      <c r="E33" s="66"/>
      <c r="F33" s="77" t="s">
        <v>525</v>
      </c>
      <c r="G33" s="83"/>
      <c r="H33" s="67"/>
    </row>
    <row r="34" spans="2:8" x14ac:dyDescent="0.3">
      <c r="B34" s="68"/>
      <c r="C34" s="66"/>
      <c r="D34" s="66"/>
      <c r="E34" s="66"/>
      <c r="F34" s="77" t="s">
        <v>527</v>
      </c>
      <c r="G34" s="83"/>
      <c r="H34" s="67"/>
    </row>
    <row r="35" spans="2:8" x14ac:dyDescent="0.3">
      <c r="B35" s="68"/>
      <c r="C35" s="66"/>
      <c r="D35" s="66"/>
      <c r="E35" s="66"/>
      <c r="F35" s="77" t="s">
        <v>528</v>
      </c>
      <c r="G35" s="83"/>
      <c r="H35" s="67"/>
    </row>
    <row r="36" spans="2:8" x14ac:dyDescent="0.3">
      <c r="B36" s="68"/>
      <c r="C36" s="66"/>
      <c r="D36" s="66"/>
      <c r="E36" s="66"/>
      <c r="F36" s="77" t="s">
        <v>529</v>
      </c>
      <c r="G36" s="83"/>
      <c r="H36" s="67"/>
    </row>
    <row r="37" spans="2:8" x14ac:dyDescent="0.3">
      <c r="B37" s="68"/>
      <c r="C37" s="66"/>
      <c r="D37" s="66"/>
      <c r="E37" s="66"/>
      <c r="F37" s="77" t="s">
        <v>354</v>
      </c>
      <c r="G37" s="83"/>
      <c r="H37" s="67"/>
    </row>
    <row r="38" spans="2:8" x14ac:dyDescent="0.3">
      <c r="B38" s="68"/>
      <c r="C38" s="66"/>
      <c r="D38" s="66"/>
      <c r="E38" s="66"/>
      <c r="F38" s="77" t="s">
        <v>355</v>
      </c>
      <c r="G38" s="83"/>
      <c r="H38" s="67"/>
    </row>
    <row r="39" spans="2:8" x14ac:dyDescent="0.3">
      <c r="B39" s="68"/>
      <c r="C39" s="66"/>
      <c r="D39" s="66"/>
      <c r="E39" s="66"/>
      <c r="F39" s="77" t="s">
        <v>353</v>
      </c>
      <c r="G39" s="83"/>
      <c r="H39" s="67"/>
    </row>
    <row r="40" spans="2:8" x14ac:dyDescent="0.3">
      <c r="B40" s="68"/>
      <c r="C40" s="66"/>
      <c r="D40" s="66"/>
      <c r="E40" s="66"/>
      <c r="F40" s="77" t="s">
        <v>356</v>
      </c>
      <c r="G40" s="83"/>
      <c r="H40" s="67"/>
    </row>
    <row r="41" spans="2:8" x14ac:dyDescent="0.3">
      <c r="B41" s="68"/>
      <c r="C41" s="66"/>
      <c r="D41" s="66"/>
      <c r="E41" s="66"/>
      <c r="F41" s="83" t="s">
        <v>530</v>
      </c>
      <c r="G41" s="83"/>
      <c r="H41" s="67"/>
    </row>
    <row r="42" spans="2:8" x14ac:dyDescent="0.3">
      <c r="B42" s="68"/>
      <c r="C42" s="66"/>
      <c r="D42" s="66"/>
      <c r="E42" s="66"/>
      <c r="F42" s="83" t="s">
        <v>530</v>
      </c>
      <c r="G42" s="83"/>
      <c r="H42" s="67"/>
    </row>
    <row r="43" spans="2:8" x14ac:dyDescent="0.3">
      <c r="B43" s="68"/>
      <c r="C43" s="66"/>
      <c r="D43" s="66"/>
      <c r="E43" s="66"/>
      <c r="F43" s="83" t="s">
        <v>530</v>
      </c>
      <c r="G43" s="83"/>
      <c r="H43" s="67"/>
    </row>
    <row r="44" spans="2:8" ht="14.4" thickBot="1" x14ac:dyDescent="0.35">
      <c r="B44" s="68"/>
      <c r="C44" s="66"/>
      <c r="D44" s="66"/>
      <c r="E44" s="66"/>
      <c r="F44" s="83" t="s">
        <v>530</v>
      </c>
      <c r="G44" s="83"/>
      <c r="H44" s="67"/>
    </row>
    <row r="45" spans="2:8" ht="14.4" thickTop="1" x14ac:dyDescent="0.3">
      <c r="B45" s="68"/>
      <c r="C45" s="66"/>
      <c r="D45" s="66"/>
      <c r="E45" s="66"/>
      <c r="F45" s="66"/>
      <c r="G45" s="64"/>
      <c r="H45" s="67"/>
    </row>
    <row r="46" spans="2:8" ht="14.4" thickBot="1" x14ac:dyDescent="0.35">
      <c r="B46" s="78"/>
      <c r="C46" s="79"/>
      <c r="D46" s="79"/>
      <c r="E46" s="79"/>
      <c r="F46" s="79"/>
      <c r="G46" s="79"/>
      <c r="H46" s="80"/>
    </row>
    <row r="47" spans="2:8" ht="14.4" thickTop="1" x14ac:dyDescent="0.3"/>
  </sheetData>
  <customSheetViews>
    <customSheetView guid="{E748B311-90F6-4A4B-A4FB-821E74008EC3}" scale="75" showPageBreaks="1" fitToPage="1" printArea="1" hiddenColumns="1" showRuler="0" topLeftCell="A2">
      <selection activeCell="I4" sqref="I4"/>
      <pageMargins left="0.75" right="0.75" top="0.5" bottom="0.5" header="0.5" footer="0.5"/>
      <printOptions horizontalCentered="1" verticalCentered="1"/>
      <pageSetup scale="70" orientation="portrait" verticalDpi="300" r:id="rId1"/>
      <headerFooter alignWithMargins="0"/>
    </customSheetView>
  </customSheetViews>
  <mergeCells count="9">
    <mergeCell ref="B2:H2"/>
    <mergeCell ref="F9:G9"/>
    <mergeCell ref="B5:F5"/>
    <mergeCell ref="F8:G8"/>
    <mergeCell ref="F18:G18"/>
    <mergeCell ref="F10:G10"/>
    <mergeCell ref="F13:G13"/>
    <mergeCell ref="F16:G16"/>
    <mergeCell ref="F15:G15"/>
  </mergeCells>
  <phoneticPr fontId="26" type="noConversion"/>
  <printOptions horizontalCentered="1" verticalCentered="1"/>
  <pageMargins left="0.75" right="0.75" top="0.6" bottom="0.5" header="0.32" footer="0.5"/>
  <pageSetup scale="78" orientation="portrait" verticalDpi="300" r:id="rId2"/>
  <headerFooter alignWithMargins="0">
    <oddHeader>&amp;L&amp;D&amp;R&amp;F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85"/>
  <sheetViews>
    <sheetView zoomScale="75" zoomScaleNormal="75" zoomScaleSheetLayoutView="25" workbookViewId="0">
      <selection activeCell="C7" sqref="B7:H10"/>
    </sheetView>
  </sheetViews>
  <sheetFormatPr defaultColWidth="9.6640625" defaultRowHeight="13.8" x14ac:dyDescent="0.3"/>
  <cols>
    <col min="1" max="1" width="4.5546875" style="87" customWidth="1"/>
    <col min="2" max="2" width="3.88671875" style="87" customWidth="1"/>
    <col min="3" max="3" width="31.5546875" style="87" customWidth="1"/>
    <col min="4" max="4" width="22.5546875" style="87" customWidth="1"/>
    <col min="5" max="5" width="21.88671875" style="88" customWidth="1"/>
    <col min="6" max="6" width="22.6640625" style="88" customWidth="1"/>
    <col min="7" max="7" width="24.5546875" style="88" customWidth="1"/>
    <col min="8" max="9" width="22.5546875" style="87" customWidth="1"/>
    <col min="10" max="10" width="23.44140625" style="87" customWidth="1"/>
    <col min="11" max="11" width="22.88671875" style="87" customWidth="1"/>
    <col min="12" max="12" width="25.6640625" style="87" customWidth="1"/>
    <col min="13" max="13" width="25.5546875" style="87" customWidth="1"/>
    <col min="14" max="14" width="17.33203125" style="87" customWidth="1"/>
    <col min="15" max="15" width="19.109375" style="87" customWidth="1"/>
    <col min="16" max="16" width="16.88671875" style="87" customWidth="1"/>
    <col min="17" max="17" width="19.109375" style="87" customWidth="1"/>
    <col min="18" max="18" width="17.5546875" style="87" customWidth="1"/>
    <col min="19" max="19" width="15.88671875" style="87" customWidth="1"/>
    <col min="20" max="20" width="16.88671875" style="87" customWidth="1"/>
    <col min="21" max="21" width="5.44140625" style="87" customWidth="1"/>
    <col min="22" max="16384" width="9.6640625" style="87"/>
  </cols>
  <sheetData>
    <row r="1" spans="1:18" s="92" customFormat="1" x14ac:dyDescent="0.3">
      <c r="E1" s="93"/>
      <c r="F1" s="93"/>
      <c r="G1" s="93"/>
    </row>
    <row r="2" spans="1:18" s="92" customFormat="1" x14ac:dyDescent="0.3">
      <c r="E2" s="93"/>
      <c r="F2" s="93"/>
      <c r="G2" s="93"/>
    </row>
    <row r="3" spans="1:18" s="92" customFormat="1" ht="27.75" customHeight="1" x14ac:dyDescent="0.45">
      <c r="B3" s="94" t="s">
        <v>591</v>
      </c>
      <c r="D3" s="95"/>
      <c r="E3" s="93"/>
      <c r="F3" s="93"/>
      <c r="G3" s="93"/>
    </row>
    <row r="4" spans="1:18" s="92" customFormat="1" ht="29.4" customHeight="1" x14ac:dyDescent="0.35">
      <c r="A4" s="95"/>
      <c r="B4" s="781" t="s">
        <v>592</v>
      </c>
      <c r="C4" s="781"/>
      <c r="D4" s="781"/>
      <c r="E4" s="781"/>
      <c r="F4" s="781"/>
      <c r="G4" s="781"/>
      <c r="H4" s="781"/>
    </row>
    <row r="5" spans="1:18" s="92" customFormat="1" ht="18" customHeight="1" x14ac:dyDescent="0.35">
      <c r="A5" s="95"/>
      <c r="C5" s="96"/>
      <c r="E5" s="93"/>
      <c r="F5" s="93"/>
      <c r="G5" s="93"/>
    </row>
    <row r="6" spans="1:18" s="92" customFormat="1" ht="13.5" customHeight="1" thickBot="1" x14ac:dyDescent="0.4">
      <c r="A6" s="95"/>
      <c r="C6" s="96"/>
      <c r="E6" s="93"/>
      <c r="F6" s="93"/>
      <c r="G6" s="93"/>
      <c r="H6" s="97"/>
    </row>
    <row r="7" spans="1:18" s="92" customFormat="1" ht="22.5" customHeight="1" thickTop="1" x14ac:dyDescent="0.35">
      <c r="A7" s="95"/>
      <c r="B7" s="98" t="s">
        <v>283</v>
      </c>
      <c r="C7" s="99"/>
      <c r="D7" s="100"/>
      <c r="E7" s="101"/>
      <c r="F7" s="101"/>
      <c r="G7" s="101"/>
      <c r="H7" s="102"/>
      <c r="J7" s="27"/>
    </row>
    <row r="8" spans="1:18" s="92" customFormat="1" ht="18" customHeight="1" x14ac:dyDescent="0.35">
      <c r="A8" s="95"/>
      <c r="B8" s="799" t="s">
        <v>564</v>
      </c>
      <c r="C8" s="800"/>
      <c r="D8" s="28"/>
      <c r="E8" s="103"/>
      <c r="F8" s="103"/>
      <c r="G8" s="103"/>
      <c r="H8" s="104"/>
      <c r="J8" s="27"/>
    </row>
    <row r="9" spans="1:18" s="92" customFormat="1" ht="18" customHeight="1" x14ac:dyDescent="0.35">
      <c r="A9" s="95"/>
      <c r="B9" s="799" t="s">
        <v>565</v>
      </c>
      <c r="C9" s="800"/>
      <c r="D9" s="29"/>
      <c r="E9" s="105"/>
      <c r="F9" s="103"/>
      <c r="G9" s="103"/>
      <c r="H9" s="104"/>
    </row>
    <row r="10" spans="1:18" s="92" customFormat="1" ht="18" customHeight="1" thickBot="1" x14ac:dyDescent="0.35">
      <c r="B10" s="106"/>
      <c r="C10" s="107"/>
      <c r="D10" s="107"/>
      <c r="E10" s="108"/>
      <c r="F10" s="109"/>
      <c r="G10" s="110"/>
      <c r="H10" s="111"/>
      <c r="I10" s="35"/>
      <c r="J10" s="35"/>
      <c r="K10" s="35"/>
      <c r="L10" s="35"/>
      <c r="M10" s="35"/>
      <c r="N10" s="35"/>
      <c r="O10" s="35"/>
      <c r="P10" s="35"/>
      <c r="Q10" s="35"/>
      <c r="R10" s="35"/>
    </row>
    <row r="11" spans="1:18" s="92" customFormat="1" ht="18" customHeight="1" thickTop="1" thickBot="1" x14ac:dyDescent="0.35">
      <c r="B11" s="116"/>
      <c r="C11" s="116"/>
      <c r="D11" s="116"/>
      <c r="E11" s="125"/>
      <c r="F11" s="126"/>
      <c r="G11" s="103"/>
      <c r="H11" s="35"/>
      <c r="I11" s="35"/>
      <c r="J11" s="35"/>
      <c r="K11" s="35"/>
      <c r="L11" s="35"/>
      <c r="M11" s="35"/>
      <c r="N11" s="35"/>
      <c r="O11" s="35"/>
      <c r="P11" s="35"/>
      <c r="Q11" s="35"/>
      <c r="R11" s="35"/>
    </row>
    <row r="12" spans="1:18" s="92" customFormat="1" ht="18" customHeight="1" thickTop="1" x14ac:dyDescent="0.35">
      <c r="B12" s="117" t="s">
        <v>287</v>
      </c>
      <c r="C12" s="118"/>
      <c r="D12" s="101"/>
      <c r="E12" s="101"/>
      <c r="F12" s="118"/>
      <c r="G12" s="118"/>
      <c r="H12" s="118"/>
      <c r="I12" s="118"/>
      <c r="J12" s="118"/>
      <c r="K12" s="118"/>
      <c r="L12" s="118"/>
      <c r="M12" s="102"/>
      <c r="N12" s="35"/>
      <c r="O12" s="35"/>
      <c r="P12" s="35"/>
      <c r="Q12" s="35"/>
      <c r="R12" s="35"/>
    </row>
    <row r="13" spans="1:18" s="92" customFormat="1" ht="18" customHeight="1" x14ac:dyDescent="0.3">
      <c r="B13" s="119"/>
      <c r="C13" s="35"/>
      <c r="D13" s="120"/>
      <c r="E13" s="150" t="s">
        <v>450</v>
      </c>
      <c r="F13" s="794" t="s">
        <v>465</v>
      </c>
      <c r="G13" s="795"/>
      <c r="H13" s="795"/>
      <c r="I13" s="794" t="s">
        <v>466</v>
      </c>
      <c r="J13" s="795"/>
      <c r="K13" s="795"/>
      <c r="L13" s="795"/>
      <c r="M13" s="128"/>
      <c r="N13" s="35"/>
      <c r="O13" s="35"/>
      <c r="P13" s="35"/>
      <c r="Q13" s="35"/>
      <c r="R13" s="35"/>
    </row>
    <row r="14" spans="1:18" s="92" customFormat="1" ht="18" customHeight="1" x14ac:dyDescent="0.3">
      <c r="B14" s="119"/>
      <c r="C14" s="35"/>
      <c r="D14" s="120"/>
      <c r="E14" s="151" t="s">
        <v>333</v>
      </c>
      <c r="F14" s="152" t="s">
        <v>334</v>
      </c>
      <c r="G14" s="153" t="s">
        <v>340</v>
      </c>
      <c r="H14" s="152" t="s">
        <v>335</v>
      </c>
      <c r="I14" s="154" t="s">
        <v>336</v>
      </c>
      <c r="J14" s="155" t="s">
        <v>336</v>
      </c>
      <c r="K14" s="155"/>
      <c r="L14" s="153" t="s">
        <v>339</v>
      </c>
      <c r="M14" s="132"/>
      <c r="N14" s="35"/>
      <c r="O14" s="35"/>
      <c r="P14" s="35"/>
      <c r="Q14" s="35"/>
      <c r="R14" s="35"/>
    </row>
    <row r="15" spans="1:18" s="92" customFormat="1" ht="56.25" customHeight="1" x14ac:dyDescent="0.3">
      <c r="B15" s="68"/>
      <c r="C15" s="66"/>
      <c r="D15" s="121"/>
      <c r="E15" s="156" t="s">
        <v>494</v>
      </c>
      <c r="F15" s="157" t="s">
        <v>580</v>
      </c>
      <c r="G15" s="157" t="s">
        <v>581</v>
      </c>
      <c r="H15" s="157" t="s">
        <v>582</v>
      </c>
      <c r="I15" s="158" t="s">
        <v>583</v>
      </c>
      <c r="J15" s="158" t="s">
        <v>584</v>
      </c>
      <c r="K15" s="158" t="s">
        <v>585</v>
      </c>
      <c r="L15" s="158" t="s">
        <v>586</v>
      </c>
      <c r="M15" s="135"/>
      <c r="N15" s="35"/>
      <c r="O15" s="35"/>
      <c r="P15" s="35"/>
      <c r="Q15" s="35"/>
      <c r="R15" s="35"/>
    </row>
    <row r="16" spans="1:18" s="92" customFormat="1" ht="26.25" customHeight="1" x14ac:dyDescent="0.3">
      <c r="B16" s="68"/>
      <c r="C16" s="66"/>
      <c r="D16" s="121"/>
      <c r="E16" s="156" t="s">
        <v>35</v>
      </c>
      <c r="F16" s="157" t="s">
        <v>587</v>
      </c>
      <c r="G16" s="157" t="s">
        <v>588</v>
      </c>
      <c r="H16" s="157" t="s">
        <v>589</v>
      </c>
      <c r="I16" s="115"/>
      <c r="J16" s="115"/>
      <c r="K16" s="115"/>
      <c r="L16" s="115"/>
      <c r="M16" s="135"/>
      <c r="N16" s="35"/>
      <c r="O16" s="35"/>
      <c r="P16" s="35"/>
      <c r="Q16" s="35"/>
      <c r="R16" s="35"/>
    </row>
    <row r="17" spans="2:20" s="92" customFormat="1" ht="48" customHeight="1" x14ac:dyDescent="0.3">
      <c r="B17" s="119"/>
      <c r="C17" s="35"/>
      <c r="D17" s="120"/>
      <c r="E17" s="159"/>
      <c r="F17" s="791" t="s">
        <v>36</v>
      </c>
      <c r="G17" s="792"/>
      <c r="H17" s="793"/>
      <c r="I17" s="158" t="s">
        <v>37</v>
      </c>
      <c r="J17" s="158" t="s">
        <v>38</v>
      </c>
      <c r="K17" s="158" t="s">
        <v>39</v>
      </c>
      <c r="L17" s="160" t="s">
        <v>566</v>
      </c>
      <c r="M17" s="135"/>
      <c r="N17" s="35"/>
      <c r="O17" s="35"/>
      <c r="P17" s="35"/>
      <c r="Q17" s="35"/>
      <c r="R17" s="35"/>
    </row>
    <row r="18" spans="2:20" s="92" customFormat="1" ht="18" customHeight="1" x14ac:dyDescent="0.3">
      <c r="B18" s="119"/>
      <c r="C18" s="122" t="s">
        <v>495</v>
      </c>
      <c r="D18" s="123" t="s">
        <v>352</v>
      </c>
      <c r="E18" s="161">
        <v>100000</v>
      </c>
      <c r="F18" s="136">
        <v>50.2</v>
      </c>
      <c r="G18" s="138">
        <v>1.2999999999999999E-3</v>
      </c>
      <c r="H18" s="138">
        <v>1E-4</v>
      </c>
      <c r="I18" s="137">
        <f>$E18*F18/1000</f>
        <v>5020</v>
      </c>
      <c r="J18" s="139">
        <f>$E18*G18/1000</f>
        <v>0.13</v>
      </c>
      <c r="K18" s="139">
        <f>$E18*H18/1000</f>
        <v>0.01</v>
      </c>
      <c r="L18" s="137">
        <f>I18+(J18*GWP_CH4)+(K18*GWP_N2O)</f>
        <v>5026.357</v>
      </c>
      <c r="M18" s="140"/>
      <c r="N18" s="35"/>
      <c r="O18" s="35"/>
      <c r="P18" s="35"/>
      <c r="Q18" s="35"/>
      <c r="R18" s="35"/>
    </row>
    <row r="19" spans="2:20" s="92" customFormat="1" ht="18" customHeight="1" x14ac:dyDescent="0.3">
      <c r="B19" s="124"/>
      <c r="C19" s="146" t="s">
        <v>349</v>
      </c>
      <c r="D19" s="147" t="s">
        <v>347</v>
      </c>
      <c r="E19" s="136"/>
      <c r="F19" s="148"/>
      <c r="G19" s="148"/>
      <c r="H19" s="148"/>
      <c r="I19" s="149"/>
      <c r="J19" s="133"/>
      <c r="K19" s="133"/>
      <c r="L19" s="136"/>
      <c r="M19" s="145"/>
      <c r="N19" s="35"/>
      <c r="O19" s="35"/>
      <c r="P19" s="35"/>
      <c r="Q19" s="35"/>
      <c r="R19" s="35"/>
    </row>
    <row r="20" spans="2:20" s="92" customFormat="1" ht="18" customHeight="1" x14ac:dyDescent="0.3">
      <c r="B20" s="119"/>
      <c r="C20" s="83"/>
      <c r="D20" s="83"/>
      <c r="E20" s="83"/>
      <c r="F20" s="83"/>
      <c r="G20" s="83"/>
      <c r="H20" s="83"/>
      <c r="I20" s="173">
        <f>$E20*F20/1000</f>
        <v>0</v>
      </c>
      <c r="J20" s="174">
        <f>$E20*G20/1000</f>
        <v>0</v>
      </c>
      <c r="K20" s="174">
        <f>$E20*H20/1000</f>
        <v>0</v>
      </c>
      <c r="L20" s="173">
        <f t="shared" ref="L20:L33" si="0">I20+(J20*GWP_CH4)+(K20*GWP_N2O)</f>
        <v>0</v>
      </c>
      <c r="M20" s="163"/>
      <c r="N20" s="35"/>
      <c r="O20" s="35"/>
      <c r="P20" s="35"/>
      <c r="Q20" s="35"/>
      <c r="R20" s="35"/>
    </row>
    <row r="21" spans="2:20" s="92" customFormat="1" ht="18" customHeight="1" x14ac:dyDescent="0.3">
      <c r="B21" s="119"/>
      <c r="C21" s="83"/>
      <c r="D21" s="83"/>
      <c r="E21" s="83"/>
      <c r="F21" s="83"/>
      <c r="G21" s="83"/>
      <c r="H21" s="83"/>
      <c r="I21" s="173">
        <f t="shared" ref="I21:I33" si="1">$E21*F21/1000</f>
        <v>0</v>
      </c>
      <c r="J21" s="174">
        <f t="shared" ref="J21:J33" si="2">$E21*G21/1000</f>
        <v>0</v>
      </c>
      <c r="K21" s="174">
        <f t="shared" ref="K21:K33" si="3">$E21*H21/1000</f>
        <v>0</v>
      </c>
      <c r="L21" s="173">
        <f t="shared" si="0"/>
        <v>0</v>
      </c>
      <c r="M21" s="163"/>
      <c r="N21" s="35"/>
      <c r="O21" s="35"/>
      <c r="P21" s="35"/>
      <c r="Q21" s="35"/>
      <c r="R21" s="35"/>
    </row>
    <row r="22" spans="2:20" s="92" customFormat="1" ht="18" customHeight="1" x14ac:dyDescent="0.3">
      <c r="B22" s="119"/>
      <c r="C22" s="83"/>
      <c r="D22" s="83"/>
      <c r="E22" s="83"/>
      <c r="F22" s="83"/>
      <c r="G22" s="83"/>
      <c r="H22" s="83"/>
      <c r="I22" s="173">
        <f t="shared" si="1"/>
        <v>0</v>
      </c>
      <c r="J22" s="174">
        <f t="shared" si="2"/>
        <v>0</v>
      </c>
      <c r="K22" s="174">
        <f t="shared" si="3"/>
        <v>0</v>
      </c>
      <c r="L22" s="173">
        <f t="shared" si="0"/>
        <v>0</v>
      </c>
      <c r="M22" s="163"/>
      <c r="N22" s="35"/>
      <c r="O22" s="35"/>
      <c r="P22" s="35"/>
      <c r="Q22" s="35"/>
      <c r="R22" s="35"/>
    </row>
    <row r="23" spans="2:20" s="92" customFormat="1" ht="18" customHeight="1" x14ac:dyDescent="0.3">
      <c r="B23" s="119"/>
      <c r="C23" s="83"/>
      <c r="D23" s="83"/>
      <c r="E23" s="83"/>
      <c r="F23" s="83"/>
      <c r="G23" s="83"/>
      <c r="H23" s="83"/>
      <c r="I23" s="173">
        <f t="shared" si="1"/>
        <v>0</v>
      </c>
      <c r="J23" s="174">
        <f t="shared" si="2"/>
        <v>0</v>
      </c>
      <c r="K23" s="174">
        <f t="shared" si="3"/>
        <v>0</v>
      </c>
      <c r="L23" s="173">
        <f t="shared" si="0"/>
        <v>0</v>
      </c>
      <c r="M23" s="163"/>
      <c r="N23" s="35"/>
      <c r="O23" s="35"/>
      <c r="P23" s="35"/>
      <c r="Q23" s="35"/>
      <c r="R23" s="35"/>
    </row>
    <row r="24" spans="2:20" s="92" customFormat="1" ht="18" customHeight="1" x14ac:dyDescent="0.3">
      <c r="B24" s="119"/>
      <c r="C24" s="83"/>
      <c r="D24" s="83"/>
      <c r="E24" s="83"/>
      <c r="F24" s="83"/>
      <c r="G24" s="83"/>
      <c r="H24" s="83"/>
      <c r="I24" s="173">
        <f t="shared" si="1"/>
        <v>0</v>
      </c>
      <c r="J24" s="174">
        <f t="shared" si="2"/>
        <v>0</v>
      </c>
      <c r="K24" s="174">
        <f t="shared" si="3"/>
        <v>0</v>
      </c>
      <c r="L24" s="173">
        <f t="shared" si="0"/>
        <v>0</v>
      </c>
      <c r="M24" s="163"/>
      <c r="N24" s="35"/>
      <c r="O24" s="35"/>
      <c r="P24" s="35"/>
      <c r="Q24" s="35"/>
      <c r="R24" s="35"/>
    </row>
    <row r="25" spans="2:20" s="92" customFormat="1" ht="18" customHeight="1" x14ac:dyDescent="0.3">
      <c r="B25" s="119"/>
      <c r="C25" s="83"/>
      <c r="D25" s="83"/>
      <c r="E25" s="83"/>
      <c r="F25" s="83"/>
      <c r="G25" s="83"/>
      <c r="H25" s="83"/>
      <c r="I25" s="173">
        <f t="shared" si="1"/>
        <v>0</v>
      </c>
      <c r="J25" s="174">
        <f t="shared" si="2"/>
        <v>0</v>
      </c>
      <c r="K25" s="174">
        <f t="shared" si="3"/>
        <v>0</v>
      </c>
      <c r="L25" s="173">
        <f t="shared" si="0"/>
        <v>0</v>
      </c>
      <c r="M25" s="163"/>
      <c r="N25" s="35"/>
      <c r="O25" s="35"/>
      <c r="P25" s="35"/>
      <c r="Q25" s="35"/>
      <c r="R25" s="35"/>
    </row>
    <row r="26" spans="2:20" s="92" customFormat="1" ht="18" customHeight="1" x14ac:dyDescent="0.3">
      <c r="B26" s="119"/>
      <c r="C26" s="83"/>
      <c r="D26" s="83"/>
      <c r="E26" s="83"/>
      <c r="F26" s="83"/>
      <c r="G26" s="83"/>
      <c r="H26" s="83"/>
      <c r="I26" s="173">
        <f t="shared" si="1"/>
        <v>0</v>
      </c>
      <c r="J26" s="174">
        <f t="shared" si="2"/>
        <v>0</v>
      </c>
      <c r="K26" s="174">
        <f t="shared" si="3"/>
        <v>0</v>
      </c>
      <c r="L26" s="173">
        <f t="shared" si="0"/>
        <v>0</v>
      </c>
      <c r="M26" s="163"/>
      <c r="N26" s="35"/>
      <c r="O26" s="35"/>
      <c r="P26" s="35"/>
      <c r="Q26" s="35"/>
      <c r="R26" s="35"/>
    </row>
    <row r="27" spans="2:20" s="92" customFormat="1" ht="18" customHeight="1" x14ac:dyDescent="0.3">
      <c r="B27" s="119"/>
      <c r="C27" s="83"/>
      <c r="D27" s="83"/>
      <c r="E27" s="83"/>
      <c r="F27" s="83"/>
      <c r="G27" s="83"/>
      <c r="H27" s="83"/>
      <c r="I27" s="173">
        <f t="shared" si="1"/>
        <v>0</v>
      </c>
      <c r="J27" s="174">
        <f t="shared" si="2"/>
        <v>0</v>
      </c>
      <c r="K27" s="174">
        <f t="shared" si="3"/>
        <v>0</v>
      </c>
      <c r="L27" s="173">
        <f t="shared" si="0"/>
        <v>0</v>
      </c>
      <c r="M27" s="163"/>
      <c r="N27" s="35"/>
      <c r="O27" s="35"/>
      <c r="P27" s="35"/>
      <c r="Q27" s="35"/>
      <c r="R27" s="35"/>
    </row>
    <row r="28" spans="2:20" s="92" customFormat="1" ht="18" customHeight="1" x14ac:dyDescent="0.3">
      <c r="B28" s="119"/>
      <c r="C28" s="83"/>
      <c r="D28" s="83"/>
      <c r="E28" s="83"/>
      <c r="F28" s="83"/>
      <c r="G28" s="83"/>
      <c r="H28" s="83"/>
      <c r="I28" s="173">
        <f t="shared" si="1"/>
        <v>0</v>
      </c>
      <c r="J28" s="174">
        <f t="shared" si="2"/>
        <v>0</v>
      </c>
      <c r="K28" s="174">
        <f t="shared" si="3"/>
        <v>0</v>
      </c>
      <c r="L28" s="173">
        <f t="shared" si="0"/>
        <v>0</v>
      </c>
      <c r="M28" s="163"/>
      <c r="N28" s="35"/>
      <c r="O28" s="35"/>
      <c r="P28" s="35"/>
      <c r="Q28" s="35"/>
      <c r="R28" s="35"/>
    </row>
    <row r="29" spans="2:20" s="92" customFormat="1" ht="18" customHeight="1" x14ac:dyDescent="0.3">
      <c r="B29" s="119"/>
      <c r="C29" s="83"/>
      <c r="D29" s="83"/>
      <c r="E29" s="83"/>
      <c r="F29" s="83"/>
      <c r="G29" s="83"/>
      <c r="H29" s="83"/>
      <c r="I29" s="173">
        <f t="shared" si="1"/>
        <v>0</v>
      </c>
      <c r="J29" s="174">
        <f t="shared" si="2"/>
        <v>0</v>
      </c>
      <c r="K29" s="174">
        <f t="shared" si="3"/>
        <v>0</v>
      </c>
      <c r="L29" s="173">
        <f t="shared" si="0"/>
        <v>0</v>
      </c>
      <c r="M29" s="163"/>
      <c r="N29" s="35"/>
      <c r="O29" s="35"/>
      <c r="P29" s="35"/>
      <c r="Q29" s="35"/>
      <c r="R29" s="35"/>
      <c r="S29" s="35"/>
      <c r="T29" s="35"/>
    </row>
    <row r="30" spans="2:20" s="92" customFormat="1" ht="18" customHeight="1" x14ac:dyDescent="0.3">
      <c r="B30" s="119"/>
      <c r="C30" s="83"/>
      <c r="D30" s="83"/>
      <c r="E30" s="83"/>
      <c r="F30" s="83"/>
      <c r="G30" s="83"/>
      <c r="H30" s="83"/>
      <c r="I30" s="173">
        <f t="shared" si="1"/>
        <v>0</v>
      </c>
      <c r="J30" s="174">
        <f t="shared" si="2"/>
        <v>0</v>
      </c>
      <c r="K30" s="174">
        <f t="shared" si="3"/>
        <v>0</v>
      </c>
      <c r="L30" s="173">
        <f t="shared" si="0"/>
        <v>0</v>
      </c>
      <c r="M30" s="163"/>
      <c r="N30" s="35"/>
      <c r="O30" s="35"/>
      <c r="P30" s="35"/>
      <c r="Q30" s="35"/>
      <c r="R30" s="35"/>
      <c r="S30" s="35"/>
      <c r="T30" s="35"/>
    </row>
    <row r="31" spans="2:20" s="92" customFormat="1" ht="18" customHeight="1" x14ac:dyDescent="0.3">
      <c r="B31" s="119"/>
      <c r="C31" s="83"/>
      <c r="D31" s="83"/>
      <c r="E31" s="83"/>
      <c r="F31" s="83"/>
      <c r="G31" s="83"/>
      <c r="H31" s="83"/>
      <c r="I31" s="173">
        <f t="shared" si="1"/>
        <v>0</v>
      </c>
      <c r="J31" s="174">
        <f t="shared" si="2"/>
        <v>0</v>
      </c>
      <c r="K31" s="174">
        <f t="shared" si="3"/>
        <v>0</v>
      </c>
      <c r="L31" s="173">
        <f t="shared" si="0"/>
        <v>0</v>
      </c>
      <c r="M31" s="163"/>
      <c r="N31" s="35"/>
      <c r="O31" s="35"/>
      <c r="P31" s="35"/>
      <c r="Q31" s="35"/>
      <c r="R31" s="35"/>
      <c r="S31" s="35"/>
      <c r="T31" s="35"/>
    </row>
    <row r="32" spans="2:20" s="92" customFormat="1" ht="18" customHeight="1" x14ac:dyDescent="0.3">
      <c r="B32" s="119"/>
      <c r="C32" s="83"/>
      <c r="D32" s="83"/>
      <c r="E32" s="83"/>
      <c r="F32" s="83"/>
      <c r="G32" s="83"/>
      <c r="H32" s="83"/>
      <c r="I32" s="173">
        <f t="shared" si="1"/>
        <v>0</v>
      </c>
      <c r="J32" s="174">
        <f t="shared" si="2"/>
        <v>0</v>
      </c>
      <c r="K32" s="174">
        <f t="shared" si="3"/>
        <v>0</v>
      </c>
      <c r="L32" s="173">
        <f t="shared" si="0"/>
        <v>0</v>
      </c>
      <c r="M32" s="163"/>
      <c r="N32" s="35"/>
      <c r="O32" s="35"/>
      <c r="P32" s="35"/>
      <c r="Q32" s="35"/>
      <c r="R32" s="35"/>
      <c r="S32" s="35"/>
      <c r="T32" s="35"/>
    </row>
    <row r="33" spans="2:13" s="92" customFormat="1" ht="18" customHeight="1" x14ac:dyDescent="0.3">
      <c r="B33" s="119"/>
      <c r="C33" s="83"/>
      <c r="D33" s="83"/>
      <c r="E33" s="83"/>
      <c r="F33" s="83"/>
      <c r="G33" s="83"/>
      <c r="H33" s="83"/>
      <c r="I33" s="173">
        <f t="shared" si="1"/>
        <v>0</v>
      </c>
      <c r="J33" s="174">
        <f t="shared" si="2"/>
        <v>0</v>
      </c>
      <c r="K33" s="174">
        <f t="shared" si="3"/>
        <v>0</v>
      </c>
      <c r="L33" s="173">
        <f t="shared" si="0"/>
        <v>0</v>
      </c>
      <c r="M33" s="163"/>
    </row>
    <row r="34" spans="2:13" s="92" customFormat="1" ht="18" customHeight="1" x14ac:dyDescent="0.35">
      <c r="B34" s="164"/>
      <c r="C34" s="35"/>
      <c r="D34" s="103"/>
      <c r="E34" s="103"/>
      <c r="F34" s="35"/>
      <c r="G34" s="35"/>
      <c r="H34" s="35"/>
      <c r="I34" s="176" t="s">
        <v>594</v>
      </c>
      <c r="J34" s="176" t="s">
        <v>595</v>
      </c>
      <c r="K34" s="176" t="s">
        <v>596</v>
      </c>
      <c r="L34" s="176" t="s">
        <v>597</v>
      </c>
      <c r="M34" s="177"/>
    </row>
    <row r="35" spans="2:13" s="92" customFormat="1" ht="18" customHeight="1" x14ac:dyDescent="0.3">
      <c r="B35" s="164"/>
      <c r="C35" s="35"/>
      <c r="D35" s="103"/>
      <c r="E35" s="103"/>
      <c r="F35" s="35"/>
      <c r="G35" s="796" t="s">
        <v>19</v>
      </c>
      <c r="H35" s="797"/>
      <c r="I35" s="175">
        <f>SUM(I20:I33)</f>
        <v>0</v>
      </c>
      <c r="J35" s="175">
        <f>SUM(J20:J33)</f>
        <v>0</v>
      </c>
      <c r="K35" s="175">
        <f>SUM(K20:K33)</f>
        <v>0</v>
      </c>
      <c r="L35" s="175">
        <f>SUM(L20:L33)</f>
        <v>0</v>
      </c>
      <c r="M35" s="168" t="s">
        <v>134</v>
      </c>
    </row>
    <row r="36" spans="2:13" s="92" customFormat="1" ht="18" customHeight="1" thickBot="1" x14ac:dyDescent="0.35">
      <c r="B36" s="169"/>
      <c r="C36" s="97"/>
      <c r="D36" s="110"/>
      <c r="E36" s="110"/>
      <c r="F36" s="97"/>
      <c r="G36" s="97"/>
      <c r="H36" s="97"/>
      <c r="I36" s="97"/>
      <c r="J36" s="97"/>
      <c r="K36" s="97"/>
      <c r="L36" s="97"/>
      <c r="M36" s="170"/>
    </row>
    <row r="37" spans="2:13" s="92" customFormat="1" ht="23.25" customHeight="1" thickTop="1" x14ac:dyDescent="0.3">
      <c r="B37" s="116"/>
      <c r="C37" s="116"/>
      <c r="D37" s="116"/>
      <c r="E37" s="125"/>
      <c r="F37" s="126"/>
      <c r="G37" s="103"/>
      <c r="H37" s="35"/>
      <c r="I37" s="35"/>
      <c r="J37" s="35"/>
      <c r="K37" s="35"/>
    </row>
    <row r="38" spans="2:13" s="92" customFormat="1" ht="18" customHeight="1" x14ac:dyDescent="0.3">
      <c r="B38" s="116"/>
      <c r="C38" s="171"/>
      <c r="D38" s="171"/>
      <c r="E38" s="172"/>
      <c r="F38" s="172"/>
      <c r="G38" s="172"/>
      <c r="H38" s="105"/>
      <c r="I38" s="35"/>
      <c r="J38" s="35"/>
      <c r="K38" s="35"/>
    </row>
    <row r="39" spans="2:13" s="92" customFormat="1" ht="18" customHeight="1" thickBot="1" x14ac:dyDescent="0.35">
      <c r="E39" s="93"/>
      <c r="F39" s="93"/>
      <c r="G39" s="93"/>
    </row>
    <row r="40" spans="2:13" s="92" customFormat="1" ht="18" customHeight="1" thickTop="1" x14ac:dyDescent="0.3">
      <c r="B40" s="178"/>
      <c r="C40" s="179"/>
      <c r="D40" s="788" t="s">
        <v>590</v>
      </c>
      <c r="E40" s="789"/>
      <c r="F40" s="789"/>
      <c r="G40" s="789"/>
      <c r="H40" s="179"/>
      <c r="I40" s="180"/>
    </row>
    <row r="41" spans="2:13" s="92" customFormat="1" ht="31.5" customHeight="1" x14ac:dyDescent="0.3">
      <c r="B41" s="181"/>
      <c r="C41" s="182"/>
      <c r="D41" s="790"/>
      <c r="E41" s="790"/>
      <c r="F41" s="790"/>
      <c r="G41" s="790"/>
      <c r="H41" s="183"/>
      <c r="I41" s="184"/>
    </row>
    <row r="42" spans="2:13" s="92" customFormat="1" ht="66.75" customHeight="1" x14ac:dyDescent="0.3">
      <c r="B42" s="181"/>
      <c r="C42" s="146" t="s">
        <v>347</v>
      </c>
      <c r="D42" s="185" t="s">
        <v>598</v>
      </c>
      <c r="E42" s="185" t="s">
        <v>599</v>
      </c>
      <c r="F42" s="185" t="s">
        <v>600</v>
      </c>
      <c r="G42" s="186" t="s">
        <v>601</v>
      </c>
      <c r="H42" s="185" t="s">
        <v>363</v>
      </c>
      <c r="I42" s="184"/>
    </row>
    <row r="43" spans="2:13" s="92" customFormat="1" ht="15.6" x14ac:dyDescent="0.3">
      <c r="B43" s="181"/>
      <c r="C43" s="785" t="s">
        <v>400</v>
      </c>
      <c r="D43" s="786"/>
      <c r="E43" s="786"/>
      <c r="F43" s="786"/>
      <c r="G43" s="786"/>
      <c r="H43" s="787"/>
      <c r="I43" s="184"/>
    </row>
    <row r="44" spans="2:13" s="92" customFormat="1" ht="30" x14ac:dyDescent="0.3">
      <c r="B44" s="181"/>
      <c r="C44" s="201" t="s">
        <v>350</v>
      </c>
      <c r="D44" s="201">
        <v>67.599999999999994</v>
      </c>
      <c r="E44" s="201"/>
      <c r="F44" s="201"/>
      <c r="G44" s="198">
        <f>D44+GWP_CH4*E44+GWP_N2O*F44</f>
        <v>67.599999999999994</v>
      </c>
      <c r="H44" s="159" t="s">
        <v>605</v>
      </c>
      <c r="I44" s="184"/>
    </row>
    <row r="45" spans="2:13" s="92" customFormat="1" ht="27.6" x14ac:dyDescent="0.3">
      <c r="B45" s="181"/>
      <c r="C45" s="201" t="s">
        <v>21</v>
      </c>
      <c r="D45" s="201">
        <v>69.7</v>
      </c>
      <c r="E45" s="201">
        <v>2.0000000000000001E-4</v>
      </c>
      <c r="F45" s="201">
        <v>4.0000000000000002E-4</v>
      </c>
      <c r="G45" s="198">
        <f>D45+GWP_CH4*E45+GWP_N2O*F45</f>
        <v>69.814779999999999</v>
      </c>
      <c r="H45" s="159"/>
      <c r="I45" s="184"/>
    </row>
    <row r="46" spans="2:13" s="92" customFormat="1" ht="27" customHeight="1" x14ac:dyDescent="0.3">
      <c r="B46" s="181"/>
      <c r="C46" s="201" t="s">
        <v>22</v>
      </c>
      <c r="D46" s="201">
        <v>72.8</v>
      </c>
      <c r="E46" s="201">
        <v>2.8999999999999998E-3</v>
      </c>
      <c r="F46" s="201">
        <v>2.9999999999999997E-4</v>
      </c>
      <c r="G46" s="198">
        <f>D46+GWP_CH4*E46+GWP_N2O*F46</f>
        <v>72.962810000000005</v>
      </c>
      <c r="H46" s="159"/>
      <c r="I46" s="184"/>
    </row>
    <row r="47" spans="2:13" s="92" customFormat="1" ht="30" x14ac:dyDescent="0.3">
      <c r="B47" s="181"/>
      <c r="C47" s="201" t="s">
        <v>337</v>
      </c>
      <c r="D47" s="201">
        <v>59.3</v>
      </c>
      <c r="E47" s="201"/>
      <c r="F47" s="201"/>
      <c r="G47" s="198">
        <f>D47+GWP_CH4*E47+GWP_N2O*F47</f>
        <v>59.3</v>
      </c>
      <c r="H47" s="159" t="s">
        <v>605</v>
      </c>
      <c r="I47" s="184"/>
    </row>
    <row r="48" spans="2:13" s="92" customFormat="1" ht="15.6" x14ac:dyDescent="0.3">
      <c r="B48" s="181"/>
      <c r="C48" s="782" t="s">
        <v>399</v>
      </c>
      <c r="D48" s="783"/>
      <c r="E48" s="783"/>
      <c r="F48" s="783"/>
      <c r="G48" s="783"/>
      <c r="H48" s="784"/>
      <c r="I48" s="184"/>
    </row>
    <row r="49" spans="2:9" s="92" customFormat="1" ht="29.25" customHeight="1" x14ac:dyDescent="0.3">
      <c r="B49" s="181"/>
      <c r="C49" s="201" t="s">
        <v>61</v>
      </c>
      <c r="D49" s="201">
        <v>50.2</v>
      </c>
      <c r="E49" s="201">
        <v>1.2999999999999999E-3</v>
      </c>
      <c r="F49" s="201">
        <v>1E-4</v>
      </c>
      <c r="G49" s="198">
        <f t="shared" ref="G49:G54" si="4">D49+GWP_CH4*E49+GWP_N2O*F49</f>
        <v>50.263570000000001</v>
      </c>
      <c r="H49" s="159" t="s">
        <v>602</v>
      </c>
      <c r="I49" s="184"/>
    </row>
    <row r="50" spans="2:9" s="92" customFormat="1" ht="29.25" customHeight="1" x14ac:dyDescent="0.3">
      <c r="B50" s="181"/>
      <c r="C50" s="201" t="s">
        <v>120</v>
      </c>
      <c r="D50" s="201">
        <v>50.2</v>
      </c>
      <c r="E50" s="201">
        <v>5.0000000000000001E-4</v>
      </c>
      <c r="F50" s="201">
        <v>1E-4</v>
      </c>
      <c r="G50" s="198">
        <f t="shared" si="4"/>
        <v>50.241250000000001</v>
      </c>
      <c r="H50" s="159" t="s">
        <v>602</v>
      </c>
      <c r="I50" s="184"/>
    </row>
    <row r="51" spans="2:9" s="92" customFormat="1" ht="31.5" customHeight="1" x14ac:dyDescent="0.3">
      <c r="B51" s="181"/>
      <c r="C51" s="201" t="s">
        <v>279</v>
      </c>
      <c r="D51" s="201">
        <v>50.2</v>
      </c>
      <c r="E51" s="201">
        <v>1.4999999999999999E-2</v>
      </c>
      <c r="F51" s="201">
        <v>1E-4</v>
      </c>
      <c r="G51" s="198">
        <f t="shared" si="4"/>
        <v>50.645800000000001</v>
      </c>
      <c r="H51" s="159" t="s">
        <v>602</v>
      </c>
      <c r="I51" s="184"/>
    </row>
    <row r="52" spans="2:9" s="92" customFormat="1" ht="31.5" customHeight="1" x14ac:dyDescent="0.3">
      <c r="B52" s="181"/>
      <c r="C52" s="201" t="s">
        <v>280</v>
      </c>
      <c r="D52" s="201">
        <v>50.2</v>
      </c>
      <c r="E52" s="201">
        <v>1.2E-2</v>
      </c>
      <c r="F52" s="201">
        <v>1E-4</v>
      </c>
      <c r="G52" s="198">
        <f t="shared" si="4"/>
        <v>50.562100000000001</v>
      </c>
      <c r="H52" s="159" t="s">
        <v>602</v>
      </c>
      <c r="I52" s="184"/>
    </row>
    <row r="53" spans="2:9" s="92" customFormat="1" ht="31.5" customHeight="1" x14ac:dyDescent="0.3">
      <c r="B53" s="181"/>
      <c r="C53" s="201" t="s">
        <v>281</v>
      </c>
      <c r="D53" s="201">
        <v>50.2</v>
      </c>
      <c r="E53" s="201">
        <v>2.5999999999999999E-3</v>
      </c>
      <c r="F53" s="201">
        <v>1E-4</v>
      </c>
      <c r="G53" s="198">
        <f t="shared" si="4"/>
        <v>50.299839999999996</v>
      </c>
      <c r="H53" s="159" t="s">
        <v>602</v>
      </c>
      <c r="I53" s="184"/>
    </row>
    <row r="54" spans="2:9" s="92" customFormat="1" ht="31.5" customHeight="1" x14ac:dyDescent="0.3">
      <c r="B54" s="181"/>
      <c r="C54" s="201" t="s">
        <v>364</v>
      </c>
      <c r="D54" s="201">
        <v>50.2</v>
      </c>
      <c r="E54" s="201">
        <v>5.0000000000000001E-3</v>
      </c>
      <c r="F54" s="201">
        <v>1E-4</v>
      </c>
      <c r="G54" s="198">
        <f t="shared" si="4"/>
        <v>50.366799999999998</v>
      </c>
      <c r="H54" s="159" t="s">
        <v>603</v>
      </c>
      <c r="I54" s="184"/>
    </row>
    <row r="55" spans="2:9" s="92" customFormat="1" ht="42.6" x14ac:dyDescent="0.3">
      <c r="B55" s="181"/>
      <c r="C55" s="201" t="s">
        <v>84</v>
      </c>
      <c r="D55" s="202" t="s">
        <v>20</v>
      </c>
      <c r="E55" s="201"/>
      <c r="F55" s="201"/>
      <c r="G55" s="203" t="s">
        <v>20</v>
      </c>
      <c r="H55" s="159" t="s">
        <v>604</v>
      </c>
      <c r="I55" s="184"/>
    </row>
    <row r="56" spans="2:9" s="92" customFormat="1" ht="15.6" x14ac:dyDescent="0.3">
      <c r="B56" s="181"/>
      <c r="C56" s="782" t="s">
        <v>401</v>
      </c>
      <c r="D56" s="783"/>
      <c r="E56" s="783"/>
      <c r="F56" s="783"/>
      <c r="G56" s="783"/>
      <c r="H56" s="784"/>
      <c r="I56" s="184"/>
    </row>
    <row r="57" spans="2:9" s="92" customFormat="1" ht="28.5" customHeight="1" x14ac:dyDescent="0.3">
      <c r="B57" s="181"/>
      <c r="C57" s="201" t="s">
        <v>338</v>
      </c>
      <c r="D57" s="204">
        <v>91.5</v>
      </c>
      <c r="E57" s="201">
        <v>0.01</v>
      </c>
      <c r="F57" s="201">
        <v>1.2999999999999999E-3</v>
      </c>
      <c r="G57" s="198">
        <f t="shared" ref="G57:G69" si="5">D57+GWP_CH4*E57+GWP_N2O*F57</f>
        <v>92.133899999999997</v>
      </c>
      <c r="H57" s="159" t="s">
        <v>603</v>
      </c>
      <c r="I57" s="184"/>
    </row>
    <row r="58" spans="2:9" s="92" customFormat="1" ht="29.25" customHeight="1" x14ac:dyDescent="0.3">
      <c r="B58" s="181"/>
      <c r="C58" s="201" t="s">
        <v>67</v>
      </c>
      <c r="D58" s="204">
        <v>88.1</v>
      </c>
      <c r="E58" s="201">
        <v>9.5E-4</v>
      </c>
      <c r="F58" s="201">
        <v>1.5E-3</v>
      </c>
      <c r="G58" s="198">
        <f t="shared" si="5"/>
        <v>88.536004999999989</v>
      </c>
      <c r="H58" s="136"/>
      <c r="I58" s="184"/>
    </row>
    <row r="59" spans="2:9" s="92" customFormat="1" ht="29.25" customHeight="1" x14ac:dyDescent="0.3">
      <c r="B59" s="181"/>
      <c r="C59" s="201" t="s">
        <v>68</v>
      </c>
      <c r="D59" s="204">
        <v>88.1</v>
      </c>
      <c r="E59" s="201">
        <v>1.2999999999999999E-2</v>
      </c>
      <c r="F59" s="201">
        <v>1.5E-3</v>
      </c>
      <c r="G59" s="198">
        <f t="shared" si="5"/>
        <v>88.872199999999992</v>
      </c>
      <c r="H59" s="136"/>
      <c r="I59" s="184"/>
    </row>
    <row r="60" spans="2:9" s="92" customFormat="1" ht="28.8" customHeight="1" x14ac:dyDescent="0.3">
      <c r="B60" s="181"/>
      <c r="C60" s="201" t="s">
        <v>69</v>
      </c>
      <c r="D60" s="204">
        <v>88.1</v>
      </c>
      <c r="E60" s="201">
        <v>6.9999999999999999E-4</v>
      </c>
      <c r="F60" s="201">
        <v>1.5E-3</v>
      </c>
      <c r="G60" s="198">
        <f t="shared" si="5"/>
        <v>88.529029999999992</v>
      </c>
      <c r="H60" s="136"/>
      <c r="I60" s="184"/>
    </row>
    <row r="61" spans="2:9" s="92" customFormat="1" ht="33" customHeight="1" x14ac:dyDescent="0.3">
      <c r="B61" s="181"/>
      <c r="C61" s="201" t="s">
        <v>70</v>
      </c>
      <c r="D61" s="204">
        <v>88.1</v>
      </c>
      <c r="E61" s="201">
        <v>6.9999999999999999E-4</v>
      </c>
      <c r="F61" s="201">
        <v>5.0000000000000001E-4</v>
      </c>
      <c r="G61" s="198">
        <f t="shared" si="5"/>
        <v>88.256029999999996</v>
      </c>
      <c r="H61" s="136"/>
      <c r="I61" s="184"/>
    </row>
    <row r="62" spans="2:9" s="92" customFormat="1" ht="33.75" customHeight="1" x14ac:dyDescent="0.3">
      <c r="B62" s="181"/>
      <c r="C62" s="201" t="s">
        <v>71</v>
      </c>
      <c r="D62" s="204">
        <v>88.1</v>
      </c>
      <c r="E62" s="201">
        <v>8.9999999999999998E-4</v>
      </c>
      <c r="F62" s="201">
        <v>1.5E-3</v>
      </c>
      <c r="G62" s="198">
        <f t="shared" si="5"/>
        <v>88.534609999999986</v>
      </c>
      <c r="H62" s="136"/>
      <c r="I62" s="184"/>
    </row>
    <row r="63" spans="2:9" s="92" customFormat="1" ht="30.75" customHeight="1" x14ac:dyDescent="0.3">
      <c r="B63" s="181"/>
      <c r="C63" s="201" t="s">
        <v>72</v>
      </c>
      <c r="D63" s="204">
        <v>88.1</v>
      </c>
      <c r="E63" s="201">
        <v>9.5E-4</v>
      </c>
      <c r="F63" s="201">
        <v>1.5E-3</v>
      </c>
      <c r="G63" s="198">
        <f t="shared" si="5"/>
        <v>88.536004999999989</v>
      </c>
      <c r="H63" s="136"/>
      <c r="I63" s="184"/>
    </row>
    <row r="64" spans="2:9" s="92" customFormat="1" ht="30.75" customHeight="1" x14ac:dyDescent="0.3">
      <c r="B64" s="181"/>
      <c r="C64" s="201" t="s">
        <v>73</v>
      </c>
      <c r="D64" s="204">
        <v>88.1</v>
      </c>
      <c r="E64" s="201">
        <v>9.5E-4</v>
      </c>
      <c r="F64" s="201">
        <v>9.0999999999999998E-2</v>
      </c>
      <c r="G64" s="198">
        <f t="shared" si="5"/>
        <v>112.969505</v>
      </c>
      <c r="H64" s="136"/>
      <c r="I64" s="184"/>
    </row>
    <row r="65" spans="2:21" s="92" customFormat="1" ht="30.75" customHeight="1" x14ac:dyDescent="0.3">
      <c r="B65" s="181"/>
      <c r="C65" s="201" t="s">
        <v>74</v>
      </c>
      <c r="D65" s="204">
        <v>89.4</v>
      </c>
      <c r="E65" s="201">
        <v>9.5E-4</v>
      </c>
      <c r="F65" s="201">
        <v>1.5E-3</v>
      </c>
      <c r="G65" s="198">
        <f t="shared" si="5"/>
        <v>89.836005</v>
      </c>
      <c r="H65" s="136"/>
      <c r="I65" s="184"/>
    </row>
    <row r="66" spans="2:21" s="92" customFormat="1" ht="32.25" customHeight="1" x14ac:dyDescent="0.3">
      <c r="B66" s="181"/>
      <c r="C66" s="201" t="s">
        <v>75</v>
      </c>
      <c r="D66" s="204">
        <v>89.4</v>
      </c>
      <c r="E66" s="201">
        <v>1.2999999999999999E-2</v>
      </c>
      <c r="F66" s="201">
        <v>1.5E-3</v>
      </c>
      <c r="G66" s="198">
        <f t="shared" si="5"/>
        <v>90.172200000000004</v>
      </c>
      <c r="H66" s="136"/>
      <c r="I66" s="184"/>
    </row>
    <row r="67" spans="2:21" s="92" customFormat="1" ht="33" customHeight="1" x14ac:dyDescent="0.3">
      <c r="B67" s="181"/>
      <c r="C67" s="201" t="s">
        <v>76</v>
      </c>
      <c r="D67" s="204">
        <v>89.4</v>
      </c>
      <c r="E67" s="201">
        <v>9.5E-4</v>
      </c>
      <c r="F67" s="201">
        <v>9.0999999999999998E-2</v>
      </c>
      <c r="G67" s="198">
        <f t="shared" si="5"/>
        <v>114.26950500000001</v>
      </c>
      <c r="H67" s="136"/>
      <c r="I67" s="184"/>
    </row>
    <row r="68" spans="2:21" s="92" customFormat="1" ht="27.6" x14ac:dyDescent="0.3">
      <c r="B68" s="181"/>
      <c r="C68" s="201" t="s">
        <v>77</v>
      </c>
      <c r="D68" s="204">
        <v>94.2</v>
      </c>
      <c r="E68" s="201">
        <v>0.01</v>
      </c>
      <c r="F68" s="201">
        <v>1.2999999999999999E-3</v>
      </c>
      <c r="G68" s="198">
        <f t="shared" si="5"/>
        <v>94.8339</v>
      </c>
      <c r="H68" s="159" t="s">
        <v>365</v>
      </c>
      <c r="I68" s="184"/>
    </row>
    <row r="69" spans="2:21" s="92" customFormat="1" ht="120" customHeight="1" x14ac:dyDescent="0.3">
      <c r="B69" s="181"/>
      <c r="C69" s="205" t="s">
        <v>83</v>
      </c>
      <c r="D69" s="206">
        <v>99.7</v>
      </c>
      <c r="E69" s="205">
        <v>1.0999999999999999E-2</v>
      </c>
      <c r="F69" s="205">
        <v>4.0000000000000001E-3</v>
      </c>
      <c r="G69" s="199">
        <f t="shared" si="5"/>
        <v>101.0989</v>
      </c>
      <c r="H69" s="207" t="s">
        <v>366</v>
      </c>
      <c r="I69" s="184"/>
    </row>
    <row r="70" spans="2:21" s="92" customFormat="1" ht="18" customHeight="1" x14ac:dyDescent="0.3">
      <c r="B70" s="181"/>
      <c r="C70" s="782" t="s">
        <v>501</v>
      </c>
      <c r="D70" s="783"/>
      <c r="E70" s="783"/>
      <c r="F70" s="783"/>
      <c r="G70" s="783"/>
      <c r="H70" s="784"/>
      <c r="I70" s="184"/>
    </row>
    <row r="71" spans="2:21" s="92" customFormat="1" ht="129.75" customHeight="1" x14ac:dyDescent="0.3">
      <c r="B71" s="181"/>
      <c r="C71" s="208" t="s">
        <v>499</v>
      </c>
      <c r="D71" s="208" t="s">
        <v>86</v>
      </c>
      <c r="E71" s="208">
        <v>1.0999999999999999E-2</v>
      </c>
      <c r="F71" s="208">
        <v>4.0000000000000001E-3</v>
      </c>
      <c r="G71" s="200">
        <f>GWP_CH4*E71+GWP_N2O*F71</f>
        <v>1.3989</v>
      </c>
      <c r="H71" s="209" t="s">
        <v>366</v>
      </c>
      <c r="I71" s="184"/>
    </row>
    <row r="72" spans="2:21" s="92" customFormat="1" ht="142.19999999999999" customHeight="1" x14ac:dyDescent="0.3">
      <c r="B72" s="181"/>
      <c r="C72" s="201" t="s">
        <v>513</v>
      </c>
      <c r="D72" s="201" t="s">
        <v>606</v>
      </c>
      <c r="E72" s="201">
        <v>1.0999999999999999E-2</v>
      </c>
      <c r="F72" s="201">
        <v>4.0000000000000001E-3</v>
      </c>
      <c r="G72" s="198">
        <f>GWP_CH4*E72+GWP_N2O*F72</f>
        <v>1.3989</v>
      </c>
      <c r="H72" s="210" t="s">
        <v>366</v>
      </c>
      <c r="I72" s="184"/>
    </row>
    <row r="73" spans="2:21" s="92" customFormat="1" x14ac:dyDescent="0.3">
      <c r="B73" s="181"/>
      <c r="C73" s="188" t="s">
        <v>18</v>
      </c>
      <c r="D73" s="183"/>
      <c r="E73" s="189"/>
      <c r="F73" s="190"/>
      <c r="G73" s="190"/>
      <c r="H73" s="190"/>
      <c r="I73" s="191"/>
      <c r="J73" s="190"/>
      <c r="K73" s="190"/>
      <c r="L73" s="190"/>
      <c r="M73" s="190"/>
      <c r="N73" s="190"/>
      <c r="O73" s="190"/>
      <c r="P73" s="190"/>
      <c r="Q73" s="190"/>
      <c r="R73" s="190"/>
      <c r="U73" s="35"/>
    </row>
    <row r="74" spans="2:21" s="92" customFormat="1" x14ac:dyDescent="0.3">
      <c r="B74" s="181"/>
      <c r="C74" s="188" t="s">
        <v>66</v>
      </c>
      <c r="D74" s="183"/>
      <c r="E74" s="189"/>
      <c r="F74" s="190"/>
      <c r="G74" s="190"/>
      <c r="H74" s="190"/>
      <c r="I74" s="191"/>
      <c r="J74" s="190"/>
      <c r="K74" s="190"/>
      <c r="L74" s="190"/>
      <c r="M74" s="190"/>
      <c r="N74" s="190"/>
      <c r="O74" s="190"/>
      <c r="P74" s="190"/>
      <c r="Q74" s="190"/>
      <c r="R74" s="190"/>
      <c r="U74" s="35"/>
    </row>
    <row r="75" spans="2:21" s="92" customFormat="1" x14ac:dyDescent="0.3">
      <c r="B75" s="181"/>
      <c r="C75" s="188"/>
      <c r="D75" s="183"/>
      <c r="E75" s="189"/>
      <c r="F75" s="190"/>
      <c r="G75" s="190"/>
      <c r="H75" s="190"/>
      <c r="I75" s="191"/>
      <c r="J75" s="190"/>
      <c r="K75" s="190"/>
      <c r="L75" s="190"/>
      <c r="M75" s="190"/>
      <c r="N75" s="190"/>
      <c r="O75" s="190"/>
      <c r="P75" s="190"/>
      <c r="Q75" s="190"/>
      <c r="R75" s="190"/>
      <c r="U75" s="35"/>
    </row>
    <row r="76" spans="2:21" s="92" customFormat="1" ht="73.5" customHeight="1" x14ac:dyDescent="0.3">
      <c r="B76" s="181"/>
      <c r="C76" s="17" t="s">
        <v>496</v>
      </c>
      <c r="D76" s="798" t="s">
        <v>184</v>
      </c>
      <c r="E76" s="798"/>
      <c r="F76" s="798"/>
      <c r="G76" s="798"/>
      <c r="H76" s="798"/>
      <c r="I76" s="104"/>
      <c r="L76" s="192"/>
      <c r="M76" s="190"/>
      <c r="N76" s="190"/>
      <c r="O76" s="190"/>
      <c r="P76" s="190"/>
      <c r="Q76" s="190"/>
      <c r="R76" s="190"/>
      <c r="U76" s="35"/>
    </row>
    <row r="77" spans="2:21" s="92" customFormat="1" ht="18" customHeight="1" x14ac:dyDescent="0.3">
      <c r="B77" s="181"/>
      <c r="C77" s="183"/>
      <c r="D77" s="798" t="s">
        <v>17</v>
      </c>
      <c r="E77" s="798"/>
      <c r="F77" s="798"/>
      <c r="G77" s="798"/>
      <c r="H77" s="798"/>
      <c r="I77" s="104"/>
      <c r="L77" s="192"/>
      <c r="M77" s="190"/>
      <c r="N77" s="190"/>
      <c r="O77" s="190"/>
      <c r="P77" s="190"/>
      <c r="Q77" s="190"/>
      <c r="R77" s="190"/>
      <c r="U77" s="35"/>
    </row>
    <row r="78" spans="2:21" s="92" customFormat="1" ht="51.75" customHeight="1" x14ac:dyDescent="0.3">
      <c r="B78" s="181"/>
      <c r="C78" s="183"/>
      <c r="D78" s="798"/>
      <c r="E78" s="798"/>
      <c r="F78" s="798"/>
      <c r="G78" s="798"/>
      <c r="H78" s="798"/>
      <c r="I78" s="104"/>
      <c r="L78" s="192"/>
      <c r="M78" s="190"/>
      <c r="N78" s="190"/>
      <c r="O78" s="190"/>
      <c r="P78" s="190"/>
      <c r="Q78" s="190"/>
      <c r="R78" s="190"/>
      <c r="U78" s="35"/>
    </row>
    <row r="79" spans="2:21" s="92" customFormat="1" ht="14.4" thickBot="1" x14ac:dyDescent="0.35">
      <c r="B79" s="194"/>
      <c r="C79" s="195"/>
      <c r="D79" s="195"/>
      <c r="E79" s="196"/>
      <c r="F79" s="196"/>
      <c r="G79" s="196"/>
      <c r="H79" s="196"/>
      <c r="I79" s="197"/>
      <c r="J79" s="181"/>
      <c r="K79" s="183"/>
      <c r="L79" s="183"/>
      <c r="M79" s="183"/>
      <c r="N79" s="183"/>
      <c r="O79" s="183"/>
      <c r="P79" s="183"/>
      <c r="Q79" s="183"/>
      <c r="R79" s="183"/>
      <c r="S79" s="35"/>
      <c r="T79" s="35"/>
      <c r="U79" s="35"/>
    </row>
    <row r="80" spans="2:21" ht="14.4" thickTop="1" x14ac:dyDescent="0.3">
      <c r="D80" s="91"/>
      <c r="E80" s="91"/>
      <c r="F80" s="91"/>
    </row>
    <row r="81" spans="4:6" x14ac:dyDescent="0.3">
      <c r="D81" s="91"/>
      <c r="E81" s="91"/>
      <c r="F81" s="91"/>
    </row>
    <row r="82" spans="4:6" x14ac:dyDescent="0.3">
      <c r="D82" s="90"/>
      <c r="E82" s="90"/>
      <c r="F82" s="90"/>
    </row>
    <row r="83" spans="4:6" x14ac:dyDescent="0.3">
      <c r="D83" s="90"/>
      <c r="E83" s="90"/>
      <c r="F83" s="90"/>
    </row>
    <row r="84" spans="4:6" x14ac:dyDescent="0.3">
      <c r="D84" s="91"/>
      <c r="E84" s="91"/>
      <c r="F84" s="91"/>
    </row>
    <row r="85" spans="4:6" x14ac:dyDescent="0.3">
      <c r="D85" s="91"/>
      <c r="E85" s="91"/>
      <c r="F85" s="91"/>
    </row>
  </sheetData>
  <customSheetViews>
    <customSheetView guid="{E748B311-90F6-4A4B-A4FB-821E74008EC3}" scale="75" showPageBreaks="1" fitToPage="1" printArea="1" showRuler="0">
      <pageMargins left="0.75" right="0.75" top="1" bottom="1" header="0.5" footer="0.5"/>
      <printOptions horizontalCentered="1" verticalCentered="1"/>
      <pageSetup paperSize="9" scale="60" orientation="landscape" r:id="rId1"/>
      <headerFooter alignWithMargins="0"/>
    </customSheetView>
  </customSheetViews>
  <mergeCells count="14">
    <mergeCell ref="I13:L13"/>
    <mergeCell ref="F13:H13"/>
    <mergeCell ref="G35:H35"/>
    <mergeCell ref="D77:H78"/>
    <mergeCell ref="B8:C8"/>
    <mergeCell ref="B9:C9"/>
    <mergeCell ref="D76:H76"/>
    <mergeCell ref="B4:H4"/>
    <mergeCell ref="C48:H48"/>
    <mergeCell ref="C43:H43"/>
    <mergeCell ref="C56:H56"/>
    <mergeCell ref="C70:H70"/>
    <mergeCell ref="D40:G41"/>
    <mergeCell ref="F17:H17"/>
  </mergeCells>
  <phoneticPr fontId="26" type="noConversion"/>
  <printOptions horizontalCentered="1" verticalCentered="1"/>
  <pageMargins left="0.75" right="0.75" top="1" bottom="1" header="0.5" footer="0.5"/>
  <pageSetup scale="45" orientation="landscape" r:id="rId2"/>
  <headerFooter alignWithMargins="0">
    <oddHeader>&amp;L&amp;D&amp;R&amp;F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BR349"/>
  <sheetViews>
    <sheetView zoomScale="75" zoomScaleNormal="75" workbookViewId="0"/>
  </sheetViews>
  <sheetFormatPr defaultColWidth="9.109375" defaultRowHeight="12" x14ac:dyDescent="0.25"/>
  <cols>
    <col min="1" max="1" width="3.5546875" style="211" customWidth="1"/>
    <col min="2" max="2" width="3.109375" style="211" customWidth="1"/>
    <col min="3" max="3" width="38.33203125" style="211" customWidth="1"/>
    <col min="4" max="4" width="23.6640625" style="212" customWidth="1"/>
    <col min="5" max="5" width="18.44140625" style="211" customWidth="1"/>
    <col min="6" max="6" width="22.5546875" style="211" customWidth="1"/>
    <col min="7" max="8" width="20.109375" style="211" customWidth="1"/>
    <col min="9" max="9" width="20.5546875" style="212" customWidth="1"/>
    <col min="10" max="10" width="18.109375" style="211" customWidth="1"/>
    <col min="11" max="11" width="21.109375" style="211" customWidth="1"/>
    <col min="12" max="12" width="19.44140625" style="213" customWidth="1"/>
    <col min="13" max="13" width="21.6640625" style="211" customWidth="1"/>
    <col min="14" max="14" width="22.109375" style="211" customWidth="1"/>
    <col min="15" max="15" width="20.88671875" style="211" customWidth="1"/>
    <col min="16" max="16" width="21.88671875" style="211" customWidth="1"/>
    <col min="17" max="17" width="21" style="211" customWidth="1"/>
    <col min="18" max="18" width="19.6640625" style="211" customWidth="1"/>
    <col min="19" max="19" width="14.44140625" style="211" customWidth="1"/>
    <col min="20" max="20" width="17.33203125" style="211" customWidth="1"/>
    <col min="21" max="21" width="10.88671875" style="211" customWidth="1"/>
    <col min="22" max="22" width="24.109375" style="211" customWidth="1"/>
    <col min="23" max="23" width="29.88671875" style="211" customWidth="1"/>
    <col min="24" max="24" width="28.6640625" style="211" customWidth="1"/>
    <col min="25" max="25" width="28.109375" style="211" customWidth="1"/>
    <col min="26" max="26" width="24.109375" style="211" customWidth="1"/>
    <col min="27" max="27" width="21.33203125" style="211" customWidth="1"/>
    <col min="28" max="28" width="39" style="211" customWidth="1"/>
    <col min="29" max="29" width="23.6640625" style="214" customWidth="1"/>
    <col min="30" max="30" width="33.109375" style="214" customWidth="1"/>
    <col min="31" max="31" width="9.109375" style="214"/>
    <col min="32" max="32" width="15.44140625" style="214" customWidth="1"/>
    <col min="33" max="33" width="14.88671875" style="214" customWidth="1"/>
    <col min="34" max="34" width="9.109375" style="214"/>
    <col min="35" max="35" width="10.44140625" style="214" customWidth="1"/>
    <col min="36" max="36" width="10.6640625" style="214" customWidth="1"/>
    <col min="37" max="37" width="15.5546875" style="214" customWidth="1"/>
    <col min="38" max="70" width="9.109375" style="214"/>
    <col min="71" max="16384" width="9.109375" style="211"/>
  </cols>
  <sheetData>
    <row r="1" spans="1:70" s="92" customFormat="1" ht="29.4" customHeight="1" x14ac:dyDescent="0.45">
      <c r="B1" s="94" t="s">
        <v>33</v>
      </c>
      <c r="D1" s="216"/>
      <c r="E1" s="216"/>
      <c r="F1" s="216"/>
      <c r="G1" s="216"/>
      <c r="H1" s="112"/>
      <c r="I1" s="112"/>
      <c r="J1" s="112"/>
      <c r="K1" s="112"/>
      <c r="L1" s="112"/>
      <c r="M1" s="112"/>
      <c r="N1" s="112"/>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row>
    <row r="2" spans="1:70" s="92" customFormat="1" ht="16.5" customHeight="1" x14ac:dyDescent="0.3">
      <c r="B2" s="46" t="s">
        <v>628</v>
      </c>
      <c r="D2" s="216"/>
      <c r="E2" s="216"/>
      <c r="F2" s="216"/>
      <c r="G2" s="216"/>
      <c r="H2" s="112"/>
      <c r="I2" s="112"/>
      <c r="J2" s="112"/>
      <c r="K2" s="112"/>
      <c r="L2" s="112"/>
      <c r="M2" s="112"/>
      <c r="N2" s="112"/>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row>
    <row r="3" spans="1:70" s="92" customFormat="1" ht="16.5" customHeight="1" x14ac:dyDescent="0.3">
      <c r="B3" s="217"/>
      <c r="C3" s="96"/>
      <c r="D3" s="216"/>
      <c r="E3" s="216"/>
      <c r="F3" s="216"/>
      <c r="G3" s="216"/>
      <c r="H3" s="112"/>
      <c r="I3" s="112"/>
      <c r="J3" s="112"/>
      <c r="K3" s="112"/>
      <c r="L3" s="112"/>
      <c r="M3" s="112"/>
      <c r="N3" s="112"/>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row>
    <row r="4" spans="1:70" s="218" customFormat="1" ht="126" customHeight="1" x14ac:dyDescent="0.3">
      <c r="C4" s="824" t="s">
        <v>629</v>
      </c>
      <c r="D4" s="825"/>
      <c r="E4" s="825"/>
      <c r="F4" s="825"/>
      <c r="G4" s="825"/>
      <c r="H4" s="825"/>
      <c r="I4" s="825"/>
      <c r="J4" s="825"/>
      <c r="K4" s="825"/>
      <c r="L4" s="825"/>
      <c r="M4" s="219"/>
      <c r="N4" s="219"/>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row>
    <row r="5" spans="1:70" s="218" customFormat="1" ht="19.5" customHeight="1" thickBot="1" x14ac:dyDescent="0.35">
      <c r="C5" s="220"/>
      <c r="D5" s="112"/>
      <c r="E5" s="112"/>
      <c r="F5" s="112"/>
      <c r="G5" s="112"/>
      <c r="H5" s="112"/>
      <c r="I5" s="221"/>
      <c r="J5" s="112"/>
      <c r="K5" s="112"/>
      <c r="L5" s="112"/>
      <c r="M5" s="219"/>
      <c r="N5" s="219"/>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row>
    <row r="6" spans="1:70" s="218" customFormat="1" ht="19.5" customHeight="1" thickTop="1" x14ac:dyDescent="0.35">
      <c r="B6" s="98" t="s">
        <v>283</v>
      </c>
      <c r="C6" s="99"/>
      <c r="D6" s="100"/>
      <c r="E6" s="101"/>
      <c r="F6" s="101"/>
      <c r="G6" s="101"/>
      <c r="H6" s="118"/>
      <c r="I6" s="222"/>
      <c r="J6" s="112"/>
      <c r="K6" s="112"/>
      <c r="L6" s="112"/>
      <c r="M6" s="219"/>
      <c r="N6" s="219"/>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row>
    <row r="7" spans="1:70" s="218" customFormat="1" ht="14.25" customHeight="1" x14ac:dyDescent="0.3">
      <c r="B7" s="799" t="s">
        <v>564</v>
      </c>
      <c r="C7" s="800"/>
      <c r="D7" s="28"/>
      <c r="E7" s="103"/>
      <c r="F7" s="103"/>
      <c r="G7" s="103"/>
      <c r="H7" s="35"/>
      <c r="I7" s="223"/>
      <c r="J7" s="112"/>
      <c r="K7" s="112"/>
      <c r="L7" s="112"/>
      <c r="M7" s="219"/>
      <c r="N7" s="219"/>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row>
    <row r="8" spans="1:70" s="218" customFormat="1" ht="14.25" customHeight="1" x14ac:dyDescent="0.3">
      <c r="B8" s="799" t="s">
        <v>565</v>
      </c>
      <c r="C8" s="800"/>
      <c r="D8" s="29"/>
      <c r="E8" s="105"/>
      <c r="F8" s="103"/>
      <c r="G8" s="103"/>
      <c r="H8" s="35"/>
      <c r="I8" s="223"/>
      <c r="J8" s="112"/>
      <c r="K8" s="112"/>
      <c r="L8" s="112"/>
      <c r="M8" s="219"/>
      <c r="N8" s="219"/>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row>
    <row r="9" spans="1:70" s="218" customFormat="1" ht="19.5" customHeight="1" thickBot="1" x14ac:dyDescent="0.35">
      <c r="B9" s="224"/>
      <c r="C9" s="225"/>
      <c r="D9" s="226"/>
      <c r="E9" s="221"/>
      <c r="F9" s="221"/>
      <c r="G9" s="221"/>
      <c r="H9" s="221"/>
      <c r="I9" s="227"/>
      <c r="J9" s="112"/>
      <c r="K9" s="112"/>
      <c r="L9" s="112"/>
      <c r="M9" s="219"/>
      <c r="N9" s="219"/>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row>
    <row r="10" spans="1:70" s="218" customFormat="1" ht="12.75" customHeight="1" thickTop="1" thickBot="1" x14ac:dyDescent="0.3">
      <c r="B10" s="228"/>
      <c r="C10" s="228"/>
      <c r="D10" s="229"/>
      <c r="E10" s="228"/>
      <c r="F10" s="228"/>
      <c r="G10" s="228"/>
      <c r="H10" s="228"/>
      <c r="I10" s="229"/>
      <c r="J10" s="228"/>
      <c r="K10" s="228"/>
      <c r="L10" s="230"/>
      <c r="M10" s="228"/>
      <c r="N10" s="228"/>
      <c r="O10" s="228"/>
      <c r="P10" s="228"/>
      <c r="Q10" s="267"/>
      <c r="R10" s="267"/>
      <c r="T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row>
    <row r="11" spans="1:70" s="238" customFormat="1" ht="10.5" customHeight="1" thickTop="1" x14ac:dyDescent="0.25">
      <c r="A11" s="236"/>
      <c r="B11" s="232"/>
      <c r="C11" s="233"/>
      <c r="D11" s="233"/>
      <c r="E11" s="234"/>
      <c r="F11" s="233"/>
      <c r="G11" s="233"/>
      <c r="H11" s="233"/>
      <c r="I11" s="233"/>
      <c r="J11" s="234"/>
      <c r="K11" s="233"/>
      <c r="L11" s="233"/>
      <c r="M11" s="235"/>
      <c r="N11" s="233"/>
      <c r="O11" s="233"/>
      <c r="P11" s="237"/>
      <c r="Q11" s="236"/>
      <c r="R11" s="236"/>
      <c r="S11" s="236"/>
      <c r="T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row>
    <row r="12" spans="1:70" s="236" customFormat="1" ht="6" customHeight="1" x14ac:dyDescent="0.25">
      <c r="B12" s="239"/>
      <c r="E12" s="240"/>
      <c r="J12" s="240"/>
      <c r="M12" s="241"/>
      <c r="P12" s="231"/>
    </row>
    <row r="13" spans="1:70" s="245" customFormat="1" ht="21.75" customHeight="1" thickBot="1" x14ac:dyDescent="0.5">
      <c r="B13" s="242" t="s">
        <v>386</v>
      </c>
      <c r="C13" s="243"/>
      <c r="D13" s="243"/>
      <c r="E13" s="244"/>
      <c r="G13" s="246"/>
      <c r="H13" s="246"/>
      <c r="I13" s="246"/>
      <c r="J13" s="247"/>
      <c r="K13" s="246"/>
      <c r="L13" s="246"/>
      <c r="M13" s="248"/>
      <c r="N13" s="246"/>
      <c r="O13" s="246"/>
      <c r="P13" s="249" t="str">
        <f>IF(AND(Q16&gt;0,Q18&gt;0),"Enter mpg OR l/100km, not both!","")</f>
        <v/>
      </c>
    </row>
    <row r="14" spans="1:70" s="257" customFormat="1" ht="12.75" customHeight="1" thickTop="1" x14ac:dyDescent="0.25">
      <c r="A14" s="252"/>
      <c r="B14" s="251" t="s">
        <v>80</v>
      </c>
      <c r="C14" s="252"/>
      <c r="D14" s="253"/>
      <c r="E14" s="254"/>
      <c r="F14" s="252"/>
      <c r="G14" s="252"/>
      <c r="H14" s="252"/>
      <c r="I14" s="252"/>
      <c r="J14" s="255"/>
      <c r="K14" s="252"/>
      <c r="L14" s="252"/>
      <c r="M14" s="256"/>
      <c r="N14" s="256"/>
      <c r="O14" s="256"/>
      <c r="P14" s="250"/>
      <c r="Q14" s="422" t="s">
        <v>121</v>
      </c>
      <c r="R14" s="423"/>
      <c r="S14" s="423"/>
      <c r="T14" s="424"/>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row>
    <row r="15" spans="1:70" s="264" customFormat="1" ht="14.25" customHeight="1" x14ac:dyDescent="0.25">
      <c r="A15" s="260"/>
      <c r="B15" s="259"/>
      <c r="C15" s="260"/>
      <c r="D15" s="260" t="s">
        <v>359</v>
      </c>
      <c r="E15" s="260" t="s">
        <v>360</v>
      </c>
      <c r="F15" s="261" t="s">
        <v>334</v>
      </c>
      <c r="G15" s="260" t="s">
        <v>340</v>
      </c>
      <c r="H15" s="260" t="s">
        <v>335</v>
      </c>
      <c r="I15" s="262" t="s">
        <v>122</v>
      </c>
      <c r="J15" s="262" t="s">
        <v>123</v>
      </c>
      <c r="K15" s="261" t="s">
        <v>339</v>
      </c>
      <c r="L15" s="262" t="s">
        <v>124</v>
      </c>
      <c r="M15" s="262" t="s">
        <v>125</v>
      </c>
      <c r="N15" s="263" t="s">
        <v>361</v>
      </c>
      <c r="O15" s="263" t="s">
        <v>362</v>
      </c>
      <c r="P15" s="258"/>
      <c r="Q15" s="425">
        <v>1000</v>
      </c>
      <c r="R15" s="267" t="s">
        <v>126</v>
      </c>
      <c r="S15" s="288" t="s">
        <v>293</v>
      </c>
      <c r="T15" s="258"/>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row>
    <row r="16" spans="1:70" s="218" customFormat="1" ht="13.8" x14ac:dyDescent="0.3">
      <c r="A16" s="267"/>
      <c r="B16" s="266"/>
      <c r="C16" s="267"/>
      <c r="D16" s="267"/>
      <c r="E16" s="826" t="s">
        <v>357</v>
      </c>
      <c r="F16" s="338" t="s">
        <v>127</v>
      </c>
      <c r="G16" s="339"/>
      <c r="H16" s="340"/>
      <c r="I16" s="341" t="s">
        <v>128</v>
      </c>
      <c r="J16" s="339"/>
      <c r="K16" s="342"/>
      <c r="L16" s="341" t="s">
        <v>129</v>
      </c>
      <c r="M16" s="340"/>
      <c r="N16" s="343" t="s">
        <v>358</v>
      </c>
      <c r="O16" s="343" t="s">
        <v>307</v>
      </c>
      <c r="P16" s="268"/>
      <c r="Q16" s="426">
        <v>0</v>
      </c>
      <c r="R16" s="267" t="s">
        <v>130</v>
      </c>
      <c r="S16" s="288"/>
      <c r="T16" s="265"/>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row>
    <row r="17" spans="1:70" s="218" customFormat="1" ht="13.8" x14ac:dyDescent="0.3">
      <c r="A17" s="267"/>
      <c r="B17" s="266"/>
      <c r="C17" s="267"/>
      <c r="D17" s="269"/>
      <c r="E17" s="827"/>
      <c r="F17" s="344"/>
      <c r="G17" s="828" t="s">
        <v>131</v>
      </c>
      <c r="H17" s="829"/>
      <c r="I17" s="341" t="s">
        <v>132</v>
      </c>
      <c r="J17" s="340"/>
      <c r="K17" s="345" t="s">
        <v>133</v>
      </c>
      <c r="L17" s="341" t="s">
        <v>299</v>
      </c>
      <c r="M17" s="340"/>
      <c r="N17" s="343" t="s">
        <v>134</v>
      </c>
      <c r="O17" s="343" t="s">
        <v>134</v>
      </c>
      <c r="P17" s="268"/>
      <c r="Q17" s="427"/>
      <c r="R17" s="267" t="s">
        <v>136</v>
      </c>
      <c r="S17" s="288" t="s">
        <v>294</v>
      </c>
      <c r="T17" s="265"/>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row>
    <row r="18" spans="1:70" s="218" customFormat="1" ht="14.25" customHeight="1" x14ac:dyDescent="0.3">
      <c r="A18" s="267"/>
      <c r="B18" s="266"/>
      <c r="C18" s="267"/>
      <c r="D18" s="269"/>
      <c r="E18" s="827"/>
      <c r="F18" s="346" t="s">
        <v>137</v>
      </c>
      <c r="G18" s="347" t="s">
        <v>138</v>
      </c>
      <c r="H18" s="347" t="s">
        <v>138</v>
      </c>
      <c r="I18" s="347" t="s">
        <v>199</v>
      </c>
      <c r="J18" s="347" t="s">
        <v>139</v>
      </c>
      <c r="K18" s="345" t="s">
        <v>140</v>
      </c>
      <c r="L18" s="347" t="s">
        <v>300</v>
      </c>
      <c r="M18" s="347" t="s">
        <v>139</v>
      </c>
      <c r="N18" s="343" t="s">
        <v>201</v>
      </c>
      <c r="O18" s="343" t="s">
        <v>202</v>
      </c>
      <c r="P18" s="268"/>
      <c r="Q18" s="426">
        <v>30</v>
      </c>
      <c r="R18" s="267" t="s">
        <v>141</v>
      </c>
      <c r="S18" s="288"/>
      <c r="T18" s="265"/>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row>
    <row r="19" spans="1:70" s="218" customFormat="1" ht="22.5" customHeight="1" thickBot="1" x14ac:dyDescent="0.35">
      <c r="A19" s="267"/>
      <c r="B19" s="266"/>
      <c r="C19" s="267"/>
      <c r="D19" s="351" t="s">
        <v>142</v>
      </c>
      <c r="E19" s="827"/>
      <c r="F19" s="346" t="s">
        <v>143</v>
      </c>
      <c r="G19" s="348" t="s">
        <v>144</v>
      </c>
      <c r="H19" s="348" t="s">
        <v>145</v>
      </c>
      <c r="I19" s="348" t="s">
        <v>197</v>
      </c>
      <c r="J19" s="348" t="s">
        <v>146</v>
      </c>
      <c r="K19" s="349" t="s">
        <v>147</v>
      </c>
      <c r="L19" s="348" t="s">
        <v>198</v>
      </c>
      <c r="M19" s="348" t="s">
        <v>148</v>
      </c>
      <c r="N19" s="350" t="s">
        <v>149</v>
      </c>
      <c r="O19" s="350" t="s">
        <v>149</v>
      </c>
      <c r="P19" s="270"/>
      <c r="Q19" s="428">
        <f>IF(AND(Q16&gt;0,Q18&gt;0),"Error",IF(Q16&gt;0,Q15/Q16,Q15/100*Q18))</f>
        <v>300</v>
      </c>
      <c r="R19" s="228" t="str">
        <f>IF(Q16&gt;0,"Gallons used","litres used")</f>
        <v>litres used</v>
      </c>
      <c r="S19" s="304" t="s">
        <v>295</v>
      </c>
      <c r="T19" s="429"/>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row>
    <row r="20" spans="1:70" s="272" customFormat="1" ht="20.25" customHeight="1" thickTop="1" thickBot="1" x14ac:dyDescent="0.3">
      <c r="A20" s="275"/>
      <c r="B20" s="271"/>
      <c r="C20" s="337" t="s">
        <v>150</v>
      </c>
      <c r="D20" s="356"/>
      <c r="E20" s="356"/>
      <c r="F20" s="357"/>
      <c r="G20" s="358"/>
      <c r="H20" s="358"/>
      <c r="I20" s="356"/>
      <c r="J20" s="356"/>
      <c r="K20" s="359">
        <f>SUM(K22:K36)</f>
        <v>0</v>
      </c>
      <c r="L20" s="356"/>
      <c r="M20" s="360"/>
      <c r="N20" s="359">
        <f>SUM(N22:N36)</f>
        <v>0</v>
      </c>
      <c r="O20" s="359">
        <f>SUM(O22:O36)</f>
        <v>0</v>
      </c>
      <c r="P20" s="273"/>
      <c r="Q20" s="274" t="str">
        <f>IF(AND(Q16&gt;0,Q18&gt;0),"Enter mpg OR l/100km, not both!","")</f>
        <v/>
      </c>
      <c r="R20" s="275"/>
      <c r="S20" s="275"/>
      <c r="T20" s="275"/>
      <c r="U20" s="273"/>
      <c r="V20" s="276"/>
      <c r="W20" s="277"/>
      <c r="X20" s="278"/>
      <c r="Y20" s="279"/>
      <c r="Z20" s="279"/>
      <c r="AA20" s="279"/>
      <c r="AB20" s="280"/>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row>
    <row r="21" spans="1:70" s="285" customFormat="1" ht="15" customHeight="1" x14ac:dyDescent="0.3">
      <c r="A21" s="399"/>
      <c r="B21" s="281"/>
      <c r="C21" s="361" t="s">
        <v>288</v>
      </c>
      <c r="D21" s="362" t="s">
        <v>151</v>
      </c>
      <c r="E21" s="362">
        <v>0.8</v>
      </c>
      <c r="F21" s="363">
        <v>30000</v>
      </c>
      <c r="G21" s="364" t="s">
        <v>152</v>
      </c>
      <c r="H21" s="364" t="s">
        <v>153</v>
      </c>
      <c r="I21" s="355">
        <v>0.13700000000000001</v>
      </c>
      <c r="J21" s="362"/>
      <c r="K21" s="365">
        <f t="shared" ref="K21:K36" si="0">F21*IF(J21=0,I21,J21)</f>
        <v>4110</v>
      </c>
      <c r="L21" s="289">
        <v>65.2</v>
      </c>
      <c r="M21" s="362"/>
      <c r="N21" s="366">
        <f>E21*K21*IF(M21=0,L21,M21)/1000</f>
        <v>214.3776</v>
      </c>
      <c r="O21" s="366">
        <f>(1-E21)*K21*IF(M21=0,L21,M21)/1000</f>
        <v>53.594399999999986</v>
      </c>
      <c r="P21" s="282"/>
      <c r="Q21" s="35"/>
      <c r="R21" s="35"/>
      <c r="S21" s="35"/>
      <c r="T21" s="399"/>
      <c r="U21" s="273"/>
      <c r="V21" s="283"/>
      <c r="W21" s="172" t="s">
        <v>371</v>
      </c>
      <c r="X21" s="284"/>
      <c r="Y21" s="275"/>
      <c r="Z21" s="275"/>
      <c r="AA21" s="275"/>
      <c r="AB21" s="273"/>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row>
    <row r="22" spans="1:70" s="291" customFormat="1" ht="15" customHeight="1" x14ac:dyDescent="0.3">
      <c r="A22" s="288"/>
      <c r="B22" s="287"/>
      <c r="C22" s="355"/>
      <c r="D22" s="367"/>
      <c r="E22" s="368"/>
      <c r="F22" s="369"/>
      <c r="G22" s="736" t="s">
        <v>152</v>
      </c>
      <c r="H22" s="736" t="s">
        <v>153</v>
      </c>
      <c r="I22" s="115">
        <v>0.13700000000000001</v>
      </c>
      <c r="J22" s="367"/>
      <c r="K22" s="371">
        <f t="shared" si="0"/>
        <v>0</v>
      </c>
      <c r="L22" s="352">
        <v>65.2</v>
      </c>
      <c r="M22" s="367"/>
      <c r="N22" s="372">
        <f t="shared" ref="N22:N36" si="1">E22*K22*IF(M22=0,L22,M22)/1000</f>
        <v>0</v>
      </c>
      <c r="O22" s="372">
        <f t="shared" ref="O22:O36" si="2">(1-E22)*K22*IF(M22=0,L22,M22)/1000</f>
        <v>0</v>
      </c>
      <c r="P22" s="290"/>
      <c r="Q22" s="35"/>
      <c r="R22" s="35"/>
      <c r="S22" s="35"/>
      <c r="T22" s="288"/>
      <c r="U22" s="265"/>
      <c r="V22" s="266"/>
      <c r="W22" s="813" t="s">
        <v>200</v>
      </c>
      <c r="X22" s="762"/>
      <c r="Y22" s="762"/>
      <c r="Z22" s="762"/>
      <c r="AA22" s="762"/>
      <c r="AB22" s="814"/>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row>
    <row r="23" spans="1:70" s="291" customFormat="1" ht="15" customHeight="1" x14ac:dyDescent="0.3">
      <c r="A23" s="288"/>
      <c r="B23" s="287"/>
      <c r="C23" s="355"/>
      <c r="D23" s="367"/>
      <c r="E23" s="368"/>
      <c r="F23" s="369"/>
      <c r="G23" s="736" t="s">
        <v>154</v>
      </c>
      <c r="H23" s="736" t="s">
        <v>153</v>
      </c>
      <c r="I23" s="115">
        <v>0.16500000000000001</v>
      </c>
      <c r="J23" s="367"/>
      <c r="K23" s="371">
        <f t="shared" si="0"/>
        <v>0</v>
      </c>
      <c r="L23" s="352">
        <v>65.2</v>
      </c>
      <c r="M23" s="367"/>
      <c r="N23" s="372">
        <f t="shared" si="1"/>
        <v>0</v>
      </c>
      <c r="O23" s="372">
        <f t="shared" si="2"/>
        <v>0</v>
      </c>
      <c r="P23" s="290"/>
      <c r="Q23" s="35"/>
      <c r="R23" s="35"/>
      <c r="S23" s="35"/>
      <c r="T23" s="288"/>
      <c r="U23" s="104"/>
      <c r="V23" s="119"/>
      <c r="W23" s="762"/>
      <c r="X23" s="762"/>
      <c r="Y23" s="762"/>
      <c r="Z23" s="762"/>
      <c r="AA23" s="762"/>
      <c r="AB23" s="814"/>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row>
    <row r="24" spans="1:70" s="291" customFormat="1" ht="13.8" x14ac:dyDescent="0.3">
      <c r="A24" s="288"/>
      <c r="B24" s="287"/>
      <c r="C24" s="355"/>
      <c r="D24" s="367"/>
      <c r="E24" s="368"/>
      <c r="F24" s="369"/>
      <c r="G24" s="736" t="s">
        <v>155</v>
      </c>
      <c r="H24" s="736" t="s">
        <v>153</v>
      </c>
      <c r="I24" s="115">
        <v>3.6200000000000003E-2</v>
      </c>
      <c r="J24" s="367"/>
      <c r="K24" s="371">
        <f t="shared" si="0"/>
        <v>0</v>
      </c>
      <c r="L24" s="352">
        <v>65.2</v>
      </c>
      <c r="M24" s="367"/>
      <c r="N24" s="372">
        <f t="shared" si="1"/>
        <v>0</v>
      </c>
      <c r="O24" s="372">
        <f t="shared" si="2"/>
        <v>0</v>
      </c>
      <c r="P24" s="290"/>
      <c r="Q24" s="35"/>
      <c r="R24" s="35"/>
      <c r="S24" s="35"/>
      <c r="T24" s="288"/>
      <c r="U24" s="104"/>
      <c r="V24" s="119"/>
      <c r="W24" s="293"/>
      <c r="X24" s="288"/>
      <c r="Y24" s="288"/>
      <c r="Z24" s="288"/>
      <c r="AA24" s="294"/>
      <c r="AB24" s="104"/>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row>
    <row r="25" spans="1:70" s="291" customFormat="1" ht="13.8" x14ac:dyDescent="0.3">
      <c r="A25" s="288"/>
      <c r="B25" s="287"/>
      <c r="C25" s="355"/>
      <c r="D25" s="367"/>
      <c r="E25" s="368"/>
      <c r="F25" s="369"/>
      <c r="G25" s="736" t="s">
        <v>155</v>
      </c>
      <c r="H25" s="736" t="s">
        <v>153</v>
      </c>
      <c r="I25" s="115">
        <v>3.6200000000000003E-2</v>
      </c>
      <c r="J25" s="367"/>
      <c r="K25" s="371">
        <f t="shared" si="0"/>
        <v>0</v>
      </c>
      <c r="L25" s="352">
        <v>65.2</v>
      </c>
      <c r="M25" s="367"/>
      <c r="N25" s="372">
        <f t="shared" si="1"/>
        <v>0</v>
      </c>
      <c r="O25" s="372">
        <f t="shared" si="2"/>
        <v>0</v>
      </c>
      <c r="P25" s="290"/>
      <c r="Q25" s="35"/>
      <c r="R25" s="35"/>
      <c r="S25" s="35"/>
      <c r="T25" s="288"/>
      <c r="U25" s="104"/>
      <c r="V25" s="119"/>
      <c r="W25" s="129" t="s">
        <v>138</v>
      </c>
      <c r="X25" s="295" t="s">
        <v>372</v>
      </c>
      <c r="Y25" s="295" t="s">
        <v>526</v>
      </c>
      <c r="Z25" s="296" t="s">
        <v>407</v>
      </c>
      <c r="AA25" s="294"/>
      <c r="AB25" s="104"/>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row>
    <row r="26" spans="1:70" s="291" customFormat="1" ht="13.8" x14ac:dyDescent="0.3">
      <c r="A26" s="288"/>
      <c r="B26" s="287"/>
      <c r="C26" s="355"/>
      <c r="D26" s="367"/>
      <c r="E26" s="368"/>
      <c r="F26" s="369"/>
      <c r="G26" s="736" t="s">
        <v>156</v>
      </c>
      <c r="H26" s="736" t="s">
        <v>153</v>
      </c>
      <c r="I26" s="737">
        <v>49</v>
      </c>
      <c r="J26" s="367"/>
      <c r="K26" s="371">
        <f t="shared" si="0"/>
        <v>0</v>
      </c>
      <c r="L26" s="352">
        <v>65.2</v>
      </c>
      <c r="M26" s="367"/>
      <c r="N26" s="372">
        <f t="shared" si="1"/>
        <v>0</v>
      </c>
      <c r="O26" s="372">
        <f t="shared" si="2"/>
        <v>0</v>
      </c>
      <c r="P26" s="290"/>
      <c r="Q26" s="35"/>
      <c r="R26" s="35"/>
      <c r="S26" s="35"/>
      <c r="T26" s="288"/>
      <c r="U26" s="104"/>
      <c r="V26" s="119"/>
      <c r="W26" s="129"/>
      <c r="X26" s="295"/>
      <c r="Y26" s="136" t="s">
        <v>373</v>
      </c>
      <c r="Z26" s="297" t="s">
        <v>373</v>
      </c>
      <c r="AA26" s="294"/>
      <c r="AB26" s="104"/>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row>
    <row r="27" spans="1:70" s="291" customFormat="1" ht="13.8" x14ac:dyDescent="0.3">
      <c r="A27" s="288"/>
      <c r="B27" s="287"/>
      <c r="C27" s="355"/>
      <c r="D27" s="367"/>
      <c r="E27" s="368"/>
      <c r="F27" s="369"/>
      <c r="G27" s="736" t="s">
        <v>152</v>
      </c>
      <c r="H27" s="736" t="s">
        <v>157</v>
      </c>
      <c r="I27" s="115">
        <v>0.14499999999999999</v>
      </c>
      <c r="J27" s="367"/>
      <c r="K27" s="371">
        <f t="shared" si="0"/>
        <v>0</v>
      </c>
      <c r="L27" s="353">
        <v>69.7</v>
      </c>
      <c r="M27" s="367"/>
      <c r="N27" s="372">
        <f t="shared" si="1"/>
        <v>0</v>
      </c>
      <c r="O27" s="372">
        <f t="shared" si="2"/>
        <v>0</v>
      </c>
      <c r="P27" s="290"/>
      <c r="Q27" s="35"/>
      <c r="R27" s="35"/>
      <c r="S27" s="35"/>
      <c r="T27" s="288"/>
      <c r="U27" s="104"/>
      <c r="V27" s="119"/>
      <c r="W27" s="129"/>
      <c r="X27" s="288"/>
      <c r="Y27" s="288"/>
      <c r="Z27" s="292"/>
      <c r="AA27" s="190"/>
      <c r="AB27" s="104"/>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row>
    <row r="28" spans="1:70" s="291" customFormat="1" ht="13.8" x14ac:dyDescent="0.3">
      <c r="A28" s="288"/>
      <c r="B28" s="287"/>
      <c r="C28" s="355"/>
      <c r="D28" s="367"/>
      <c r="E28" s="368"/>
      <c r="F28" s="369"/>
      <c r="G28" s="736" t="s">
        <v>154</v>
      </c>
      <c r="H28" s="736" t="s">
        <v>157</v>
      </c>
      <c r="I28" s="115">
        <v>0.17399999999999999</v>
      </c>
      <c r="J28" s="367"/>
      <c r="K28" s="371">
        <f t="shared" si="0"/>
        <v>0</v>
      </c>
      <c r="L28" s="353">
        <v>69.7</v>
      </c>
      <c r="M28" s="367"/>
      <c r="N28" s="372">
        <f t="shared" si="1"/>
        <v>0</v>
      </c>
      <c r="O28" s="372">
        <f t="shared" si="2"/>
        <v>0</v>
      </c>
      <c r="P28" s="290"/>
      <c r="Q28" s="298"/>
      <c r="R28" s="288"/>
      <c r="S28" s="288"/>
      <c r="T28" s="288"/>
      <c r="U28" s="265"/>
      <c r="V28" s="266"/>
      <c r="W28" s="431" t="s">
        <v>404</v>
      </c>
      <c r="X28" s="204">
        <v>65.2</v>
      </c>
      <c r="Y28" s="432" t="s">
        <v>186</v>
      </c>
      <c r="Z28" s="433" t="s">
        <v>377</v>
      </c>
      <c r="AA28" s="190"/>
      <c r="AB28" s="265"/>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row>
    <row r="29" spans="1:70" s="291" customFormat="1" ht="13.8" x14ac:dyDescent="0.3">
      <c r="A29" s="288"/>
      <c r="B29" s="287"/>
      <c r="C29" s="355"/>
      <c r="D29" s="367"/>
      <c r="E29" s="368"/>
      <c r="F29" s="369"/>
      <c r="G29" s="736" t="s">
        <v>155</v>
      </c>
      <c r="H29" s="736" t="s">
        <v>157</v>
      </c>
      <c r="I29" s="115">
        <v>3.8199999999999998E-2</v>
      </c>
      <c r="J29" s="367"/>
      <c r="K29" s="371">
        <f t="shared" si="0"/>
        <v>0</v>
      </c>
      <c r="L29" s="353">
        <v>69.7</v>
      </c>
      <c r="M29" s="367"/>
      <c r="N29" s="372">
        <f t="shared" si="1"/>
        <v>0</v>
      </c>
      <c r="O29" s="372">
        <f t="shared" si="2"/>
        <v>0</v>
      </c>
      <c r="P29" s="290"/>
      <c r="Q29" s="298"/>
      <c r="R29" s="288"/>
      <c r="S29" s="288"/>
      <c r="T29" s="288"/>
      <c r="U29" s="265"/>
      <c r="V29" s="266"/>
      <c r="W29" s="431" t="s">
        <v>350</v>
      </c>
      <c r="X29" s="204">
        <v>67.599999999999994</v>
      </c>
      <c r="Y29" s="432" t="s">
        <v>374</v>
      </c>
      <c r="Z29" s="433" t="s">
        <v>378</v>
      </c>
      <c r="AA29" s="190"/>
      <c r="AB29" s="265"/>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row>
    <row r="30" spans="1:70" s="291" customFormat="1" ht="13.5" customHeight="1" x14ac:dyDescent="0.3">
      <c r="A30" s="288"/>
      <c r="B30" s="287"/>
      <c r="C30" s="355"/>
      <c r="D30" s="367"/>
      <c r="E30" s="368"/>
      <c r="F30" s="369"/>
      <c r="G30" s="736" t="s">
        <v>156</v>
      </c>
      <c r="H30" s="736" t="s">
        <v>157</v>
      </c>
      <c r="I30" s="738">
        <v>44.9</v>
      </c>
      <c r="J30" s="367"/>
      <c r="K30" s="371">
        <f t="shared" si="0"/>
        <v>0</v>
      </c>
      <c r="L30" s="353">
        <v>69.7</v>
      </c>
      <c r="M30" s="367"/>
      <c r="N30" s="372">
        <f t="shared" si="1"/>
        <v>0</v>
      </c>
      <c r="O30" s="372">
        <f t="shared" si="2"/>
        <v>0</v>
      </c>
      <c r="P30" s="290"/>
      <c r="Q30" s="298"/>
      <c r="R30" s="288"/>
      <c r="S30" s="288"/>
      <c r="T30" s="288"/>
      <c r="U30" s="265"/>
      <c r="V30" s="266"/>
      <c r="W30" s="434" t="s">
        <v>85</v>
      </c>
      <c r="X30" s="204" t="s">
        <v>207</v>
      </c>
      <c r="Y30" s="432"/>
      <c r="Z30" s="433"/>
      <c r="AA30" s="190"/>
      <c r="AB30" s="265"/>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row>
    <row r="31" spans="1:70" s="291" customFormat="1" ht="13.8" x14ac:dyDescent="0.3">
      <c r="A31" s="288"/>
      <c r="B31" s="287"/>
      <c r="C31" s="355"/>
      <c r="D31" s="367"/>
      <c r="E31" s="368"/>
      <c r="F31" s="369"/>
      <c r="G31" s="736" t="s">
        <v>158</v>
      </c>
      <c r="H31" s="736" t="s">
        <v>159</v>
      </c>
      <c r="I31" s="739">
        <v>2.5000000000000001E-2</v>
      </c>
      <c r="J31" s="367"/>
      <c r="K31" s="371">
        <f t="shared" si="0"/>
        <v>0</v>
      </c>
      <c r="L31" s="354">
        <v>50.2</v>
      </c>
      <c r="M31" s="367"/>
      <c r="N31" s="372">
        <f t="shared" si="1"/>
        <v>0</v>
      </c>
      <c r="O31" s="372">
        <f t="shared" si="2"/>
        <v>0</v>
      </c>
      <c r="P31" s="290"/>
      <c r="Q31" s="298"/>
      <c r="R31" s="288"/>
      <c r="S31" s="288"/>
      <c r="T31" s="288"/>
      <c r="U31" s="265"/>
      <c r="V31" s="266"/>
      <c r="W31" s="434" t="s">
        <v>87</v>
      </c>
      <c r="X31" s="204" t="s">
        <v>208</v>
      </c>
      <c r="Y31" s="432"/>
      <c r="Z31" s="433"/>
      <c r="AA31" s="190"/>
      <c r="AB31" s="265"/>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row>
    <row r="32" spans="1:70" s="291" customFormat="1" ht="13.8" x14ac:dyDescent="0.3">
      <c r="A32" s="288"/>
      <c r="B32" s="287"/>
      <c r="C32" s="355"/>
      <c r="D32" s="367"/>
      <c r="E32" s="368"/>
      <c r="F32" s="369"/>
      <c r="G32" s="736" t="s">
        <v>160</v>
      </c>
      <c r="H32" s="736" t="s">
        <v>159</v>
      </c>
      <c r="I32" s="739">
        <v>5.5100000000000003E-2</v>
      </c>
      <c r="J32" s="367"/>
      <c r="K32" s="371">
        <f t="shared" si="0"/>
        <v>0</v>
      </c>
      <c r="L32" s="354">
        <v>50.2</v>
      </c>
      <c r="M32" s="367"/>
      <c r="N32" s="372">
        <f t="shared" si="1"/>
        <v>0</v>
      </c>
      <c r="O32" s="372">
        <f t="shared" si="2"/>
        <v>0</v>
      </c>
      <c r="P32" s="290"/>
      <c r="Q32" s="298"/>
      <c r="R32" s="288"/>
      <c r="S32" s="288"/>
      <c r="T32" s="288"/>
      <c r="U32" s="265"/>
      <c r="V32" s="266"/>
      <c r="W32" s="434" t="s">
        <v>157</v>
      </c>
      <c r="X32" s="204">
        <v>69.7</v>
      </c>
      <c r="Y32" s="432" t="s">
        <v>187</v>
      </c>
      <c r="Z32" s="433" t="s">
        <v>379</v>
      </c>
      <c r="AA32" s="190"/>
      <c r="AB32" s="265"/>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row>
    <row r="33" spans="1:70" s="291" customFormat="1" ht="13.8" x14ac:dyDescent="0.3">
      <c r="A33" s="288"/>
      <c r="B33" s="287"/>
      <c r="C33" s="355"/>
      <c r="D33" s="367"/>
      <c r="E33" s="368"/>
      <c r="F33" s="369"/>
      <c r="G33" s="736" t="s">
        <v>158</v>
      </c>
      <c r="H33" s="736" t="s">
        <v>337</v>
      </c>
      <c r="I33" s="739">
        <v>2.1899999999999999E-2</v>
      </c>
      <c r="J33" s="367"/>
      <c r="K33" s="371">
        <f t="shared" si="0"/>
        <v>0</v>
      </c>
      <c r="L33" s="354">
        <v>59.3</v>
      </c>
      <c r="M33" s="367"/>
      <c r="N33" s="372">
        <f t="shared" si="1"/>
        <v>0</v>
      </c>
      <c r="O33" s="372">
        <f t="shared" si="2"/>
        <v>0</v>
      </c>
      <c r="P33" s="290"/>
      <c r="Q33" s="298"/>
      <c r="R33" s="288"/>
      <c r="S33" s="288"/>
      <c r="T33" s="288"/>
      <c r="U33" s="265"/>
      <c r="V33" s="266"/>
      <c r="W33" s="431" t="s">
        <v>408</v>
      </c>
      <c r="X33" s="204">
        <v>69.7</v>
      </c>
      <c r="Y33" s="432" t="s">
        <v>188</v>
      </c>
      <c r="Z33" s="433" t="s">
        <v>380</v>
      </c>
      <c r="AA33" s="190"/>
      <c r="AB33" s="104"/>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row>
    <row r="34" spans="1:70" s="291" customFormat="1" ht="13.8" x14ac:dyDescent="0.3">
      <c r="A34" s="288"/>
      <c r="B34" s="287"/>
      <c r="C34" s="355"/>
      <c r="D34" s="367"/>
      <c r="E34" s="368"/>
      <c r="F34" s="369"/>
      <c r="G34" s="736" t="s">
        <v>160</v>
      </c>
      <c r="H34" s="736" t="s">
        <v>337</v>
      </c>
      <c r="I34" s="739">
        <v>4.8300000000000003E-2</v>
      </c>
      <c r="J34" s="367"/>
      <c r="K34" s="371">
        <f t="shared" si="0"/>
        <v>0</v>
      </c>
      <c r="L34" s="354">
        <v>59.3</v>
      </c>
      <c r="M34" s="367"/>
      <c r="N34" s="372">
        <f t="shared" si="1"/>
        <v>0</v>
      </c>
      <c r="O34" s="372">
        <f t="shared" si="2"/>
        <v>0</v>
      </c>
      <c r="P34" s="290"/>
      <c r="Q34" s="298"/>
      <c r="R34" s="288"/>
      <c r="S34" s="288"/>
      <c r="T34" s="288"/>
      <c r="U34" s="265"/>
      <c r="V34" s="266"/>
      <c r="W34" s="431" t="s">
        <v>409</v>
      </c>
      <c r="X34" s="204">
        <v>69.7</v>
      </c>
      <c r="Y34" s="432" t="s">
        <v>188</v>
      </c>
      <c r="Z34" s="433" t="s">
        <v>380</v>
      </c>
      <c r="AA34" s="190"/>
      <c r="AB34" s="104"/>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row>
    <row r="35" spans="1:70" s="291" customFormat="1" ht="13.8" x14ac:dyDescent="0.3">
      <c r="A35" s="288"/>
      <c r="B35" s="287"/>
      <c r="C35" s="355"/>
      <c r="D35" s="367"/>
      <c r="E35" s="368"/>
      <c r="F35" s="369"/>
      <c r="G35" s="736" t="s">
        <v>152</v>
      </c>
      <c r="H35" s="736" t="s">
        <v>337</v>
      </c>
      <c r="I35" s="740">
        <v>0.99199999999999999</v>
      </c>
      <c r="J35" s="367"/>
      <c r="K35" s="371">
        <f t="shared" si="0"/>
        <v>0</v>
      </c>
      <c r="L35" s="354">
        <v>59.3</v>
      </c>
      <c r="M35" s="367"/>
      <c r="N35" s="372">
        <f t="shared" si="1"/>
        <v>0</v>
      </c>
      <c r="O35" s="372">
        <f t="shared" si="2"/>
        <v>0</v>
      </c>
      <c r="P35" s="290"/>
      <c r="Q35" s="298"/>
      <c r="R35" s="288"/>
      <c r="S35" s="288"/>
      <c r="T35" s="288"/>
      <c r="U35" s="265"/>
      <c r="V35" s="266"/>
      <c r="W35" s="431" t="s">
        <v>168</v>
      </c>
      <c r="X35" s="204">
        <v>72.8</v>
      </c>
      <c r="Y35" s="432" t="s">
        <v>193</v>
      </c>
      <c r="Z35" s="433" t="s">
        <v>194</v>
      </c>
      <c r="AA35" s="190"/>
      <c r="AB35" s="104"/>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row>
    <row r="36" spans="1:70" s="291" customFormat="1" ht="14.4" thickBot="1" x14ac:dyDescent="0.35">
      <c r="A36" s="288"/>
      <c r="B36" s="287"/>
      <c r="C36" s="355"/>
      <c r="D36" s="392"/>
      <c r="E36" s="393"/>
      <c r="F36" s="394"/>
      <c r="G36" s="741" t="s">
        <v>155</v>
      </c>
      <c r="H36" s="741" t="s">
        <v>337</v>
      </c>
      <c r="I36" s="742">
        <v>2.6200000000000001E-2</v>
      </c>
      <c r="J36" s="392"/>
      <c r="K36" s="396">
        <f t="shared" si="0"/>
        <v>0</v>
      </c>
      <c r="L36" s="397">
        <v>59.3</v>
      </c>
      <c r="M36" s="392"/>
      <c r="N36" s="398">
        <f t="shared" si="1"/>
        <v>0</v>
      </c>
      <c r="O36" s="398">
        <f t="shared" si="2"/>
        <v>0</v>
      </c>
      <c r="P36" s="290"/>
      <c r="Q36" s="298"/>
      <c r="R36" s="288"/>
      <c r="S36" s="288"/>
      <c r="T36" s="288"/>
      <c r="U36" s="265"/>
      <c r="V36" s="266"/>
      <c r="W36" s="431" t="s">
        <v>169</v>
      </c>
      <c r="X36" s="204">
        <v>72.8</v>
      </c>
      <c r="Y36" s="432" t="s">
        <v>189</v>
      </c>
      <c r="Z36" s="435" t="s">
        <v>381</v>
      </c>
      <c r="AA36" s="190"/>
      <c r="AB36" s="265"/>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row>
    <row r="37" spans="1:70" s="272" customFormat="1" ht="14.4" thickBot="1" x14ac:dyDescent="0.3">
      <c r="A37" s="275"/>
      <c r="B37" s="271"/>
      <c r="C37" s="337" t="s">
        <v>161</v>
      </c>
      <c r="D37" s="356"/>
      <c r="E37" s="356"/>
      <c r="F37" s="357"/>
      <c r="G37" s="358"/>
      <c r="H37" s="358"/>
      <c r="I37" s="356"/>
      <c r="J37" s="356"/>
      <c r="K37" s="359">
        <f>SUM(K38:K52)</f>
        <v>0</v>
      </c>
      <c r="L37" s="356"/>
      <c r="M37" s="360"/>
      <c r="N37" s="359">
        <f>SUM(N38:N52)</f>
        <v>0</v>
      </c>
      <c r="O37" s="359">
        <f>SUM(O38:O52)</f>
        <v>0</v>
      </c>
      <c r="P37" s="273"/>
      <c r="Q37" s="275"/>
      <c r="R37" s="275"/>
      <c r="S37" s="275"/>
      <c r="T37" s="275"/>
      <c r="U37" s="265"/>
      <c r="V37" s="266"/>
      <c r="W37" s="431" t="s">
        <v>170</v>
      </c>
      <c r="X37" s="204">
        <v>72.8</v>
      </c>
      <c r="Y37" s="432" t="s">
        <v>190</v>
      </c>
      <c r="Z37" s="435" t="s">
        <v>382</v>
      </c>
      <c r="AA37" s="190"/>
      <c r="AB37" s="26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row>
    <row r="38" spans="1:70" s="291" customFormat="1" ht="17.25" customHeight="1" x14ac:dyDescent="0.3">
      <c r="A38" s="288"/>
      <c r="B38" s="287"/>
      <c r="C38" s="355"/>
      <c r="D38" s="367"/>
      <c r="E38" s="368"/>
      <c r="F38" s="369"/>
      <c r="G38" s="736" t="s">
        <v>152</v>
      </c>
      <c r="H38" s="736" t="s">
        <v>153</v>
      </c>
      <c r="I38" s="115">
        <v>0.13700000000000001</v>
      </c>
      <c r="J38" s="367"/>
      <c r="K38" s="371">
        <f t="shared" ref="K38:K52" si="3">F38*IF(J38=0,I38,J38)</f>
        <v>0</v>
      </c>
      <c r="L38" s="352">
        <v>65.2</v>
      </c>
      <c r="M38" s="367"/>
      <c r="N38" s="372">
        <f>E38*K38*IF(M38=0,L38,M38)/1000</f>
        <v>0</v>
      </c>
      <c r="O38" s="372">
        <f>(1-E38)*K38*IF(M38=0,L38,M38)/1000</f>
        <v>0</v>
      </c>
      <c r="P38" s="290"/>
      <c r="Q38" s="298"/>
      <c r="R38" s="288"/>
      <c r="S38" s="288"/>
      <c r="T38" s="288"/>
      <c r="U38" s="265"/>
      <c r="V38" s="266"/>
      <c r="W38" s="431" t="s">
        <v>337</v>
      </c>
      <c r="X38" s="204">
        <v>59.3</v>
      </c>
      <c r="Y38" s="432" t="s">
        <v>191</v>
      </c>
      <c r="Z38" s="433" t="s">
        <v>383</v>
      </c>
      <c r="AA38" s="190"/>
      <c r="AB38" s="265"/>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row>
    <row r="39" spans="1:70" s="291" customFormat="1" ht="15.75" customHeight="1" x14ac:dyDescent="0.3">
      <c r="A39" s="288"/>
      <c r="B39" s="287"/>
      <c r="C39" s="355"/>
      <c r="D39" s="367"/>
      <c r="E39" s="368"/>
      <c r="F39" s="369"/>
      <c r="G39" s="736" t="s">
        <v>154</v>
      </c>
      <c r="H39" s="736" t="s">
        <v>153</v>
      </c>
      <c r="I39" s="115">
        <v>0.16500000000000001</v>
      </c>
      <c r="J39" s="367"/>
      <c r="K39" s="371">
        <f t="shared" si="3"/>
        <v>0</v>
      </c>
      <c r="L39" s="352">
        <v>65.2</v>
      </c>
      <c r="M39" s="367"/>
      <c r="N39" s="372">
        <f t="shared" ref="N39:N52" si="4">E39*K39*IF(M39=0,L39,M39)/1000</f>
        <v>0</v>
      </c>
      <c r="O39" s="372">
        <f t="shared" ref="O39:O52" si="5">(1-E39)*K39*IF(M39=0,L39,M39)/1000</f>
        <v>0</v>
      </c>
      <c r="P39" s="290"/>
      <c r="Q39" s="298"/>
      <c r="R39" s="288"/>
      <c r="S39" s="288"/>
      <c r="T39" s="288"/>
      <c r="U39" s="265"/>
      <c r="V39" s="266"/>
      <c r="W39" s="210" t="s">
        <v>338</v>
      </c>
      <c r="X39" s="204">
        <v>91.5</v>
      </c>
      <c r="Y39" s="432" t="s">
        <v>375</v>
      </c>
      <c r="Z39" s="433"/>
      <c r="AA39" s="190"/>
      <c r="AB39" s="265"/>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row>
    <row r="40" spans="1:70" s="291" customFormat="1" ht="16.5" customHeight="1" x14ac:dyDescent="0.3">
      <c r="A40" s="288"/>
      <c r="B40" s="287"/>
      <c r="C40" s="355"/>
      <c r="D40" s="367"/>
      <c r="E40" s="368"/>
      <c r="F40" s="369"/>
      <c r="G40" s="736" t="s">
        <v>155</v>
      </c>
      <c r="H40" s="736" t="s">
        <v>153</v>
      </c>
      <c r="I40" s="115">
        <v>3.6200000000000003E-2</v>
      </c>
      <c r="J40" s="367"/>
      <c r="K40" s="371">
        <f t="shared" si="3"/>
        <v>0</v>
      </c>
      <c r="L40" s="352">
        <v>65.2</v>
      </c>
      <c r="M40" s="367"/>
      <c r="N40" s="372">
        <f t="shared" si="4"/>
        <v>0</v>
      </c>
      <c r="O40" s="372">
        <f t="shared" si="5"/>
        <v>0</v>
      </c>
      <c r="P40" s="290"/>
      <c r="Q40" s="298"/>
      <c r="R40" s="288"/>
      <c r="S40" s="288"/>
      <c r="T40" s="288"/>
      <c r="U40" s="265"/>
      <c r="V40" s="266"/>
      <c r="W40" s="210" t="s">
        <v>403</v>
      </c>
      <c r="X40" s="204">
        <v>88.1</v>
      </c>
      <c r="Y40" s="432" t="s">
        <v>376</v>
      </c>
      <c r="Z40" s="433"/>
      <c r="AA40" s="190"/>
      <c r="AB40" s="265"/>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row>
    <row r="41" spans="1:70" s="291" customFormat="1" ht="13.8" x14ac:dyDescent="0.3">
      <c r="A41" s="288"/>
      <c r="B41" s="287"/>
      <c r="C41" s="355"/>
      <c r="D41" s="367"/>
      <c r="E41" s="368"/>
      <c r="F41" s="369"/>
      <c r="G41" s="736" t="s">
        <v>156</v>
      </c>
      <c r="H41" s="736" t="s">
        <v>153</v>
      </c>
      <c r="I41" s="737">
        <v>49</v>
      </c>
      <c r="J41" s="367"/>
      <c r="K41" s="371">
        <f t="shared" si="3"/>
        <v>0</v>
      </c>
      <c r="L41" s="352">
        <v>65.2</v>
      </c>
      <c r="M41" s="367"/>
      <c r="N41" s="372">
        <f t="shared" si="4"/>
        <v>0</v>
      </c>
      <c r="O41" s="372">
        <f t="shared" si="5"/>
        <v>0</v>
      </c>
      <c r="P41" s="290"/>
      <c r="Q41" s="298"/>
      <c r="R41" s="288"/>
      <c r="S41" s="288"/>
      <c r="T41" s="288"/>
      <c r="U41" s="265"/>
      <c r="V41" s="266"/>
      <c r="W41" s="210" t="s">
        <v>84</v>
      </c>
      <c r="X41" s="204" t="s">
        <v>20</v>
      </c>
      <c r="Y41" s="432" t="s">
        <v>192</v>
      </c>
      <c r="Z41" s="433" t="s">
        <v>384</v>
      </c>
      <c r="AA41" s="190"/>
      <c r="AB41" s="265"/>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row>
    <row r="42" spans="1:70" s="291" customFormat="1" ht="13.8" x14ac:dyDescent="0.3">
      <c r="A42" s="288"/>
      <c r="B42" s="287"/>
      <c r="C42" s="355"/>
      <c r="D42" s="367"/>
      <c r="E42" s="368"/>
      <c r="F42" s="369"/>
      <c r="G42" s="736" t="s">
        <v>152</v>
      </c>
      <c r="H42" s="736" t="s">
        <v>157</v>
      </c>
      <c r="I42" s="115">
        <v>0.14499999999999999</v>
      </c>
      <c r="J42" s="367"/>
      <c r="K42" s="371">
        <f t="shared" si="3"/>
        <v>0</v>
      </c>
      <c r="L42" s="353">
        <v>69.7</v>
      </c>
      <c r="M42" s="367"/>
      <c r="N42" s="372">
        <f t="shared" si="4"/>
        <v>0</v>
      </c>
      <c r="O42" s="372">
        <f t="shared" si="5"/>
        <v>0</v>
      </c>
      <c r="P42" s="290"/>
      <c r="Q42" s="298"/>
      <c r="R42" s="288"/>
      <c r="S42" s="288"/>
      <c r="T42" s="288"/>
      <c r="U42" s="265"/>
      <c r="V42" s="266"/>
      <c r="W42" s="210" t="s">
        <v>171</v>
      </c>
      <c r="X42" s="204">
        <v>89.4</v>
      </c>
      <c r="Y42" s="432" t="s">
        <v>607</v>
      </c>
      <c r="Z42" s="433"/>
      <c r="AA42" s="190"/>
      <c r="AB42" s="265"/>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row>
    <row r="43" spans="1:70" s="291" customFormat="1" ht="16.5" customHeight="1" x14ac:dyDescent="0.3">
      <c r="A43" s="288"/>
      <c r="B43" s="287"/>
      <c r="C43" s="355"/>
      <c r="D43" s="367"/>
      <c r="E43" s="368"/>
      <c r="F43" s="369"/>
      <c r="G43" s="736" t="s">
        <v>154</v>
      </c>
      <c r="H43" s="736" t="s">
        <v>157</v>
      </c>
      <c r="I43" s="115">
        <v>0.17399999999999999</v>
      </c>
      <c r="J43" s="367"/>
      <c r="K43" s="371">
        <f t="shared" si="3"/>
        <v>0</v>
      </c>
      <c r="L43" s="353">
        <v>69.7</v>
      </c>
      <c r="M43" s="367"/>
      <c r="N43" s="372">
        <f t="shared" si="4"/>
        <v>0</v>
      </c>
      <c r="O43" s="372">
        <f t="shared" si="5"/>
        <v>0</v>
      </c>
      <c r="P43" s="290"/>
      <c r="Q43" s="298"/>
      <c r="R43" s="288"/>
      <c r="S43" s="288"/>
      <c r="T43" s="288"/>
      <c r="U43" s="265"/>
      <c r="V43" s="266"/>
      <c r="W43" s="210" t="s">
        <v>183</v>
      </c>
      <c r="X43" s="436">
        <v>50.2</v>
      </c>
      <c r="Y43" s="437" t="s">
        <v>608</v>
      </c>
      <c r="Z43" s="433" t="s">
        <v>609</v>
      </c>
      <c r="AA43" s="190"/>
      <c r="AB43" s="265"/>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row>
    <row r="44" spans="1:70" s="291" customFormat="1" ht="17.25" customHeight="1" x14ac:dyDescent="0.3">
      <c r="A44" s="288"/>
      <c r="B44" s="287"/>
      <c r="C44" s="355"/>
      <c r="D44" s="367"/>
      <c r="E44" s="368"/>
      <c r="F44" s="369"/>
      <c r="G44" s="736" t="s">
        <v>155</v>
      </c>
      <c r="H44" s="736" t="s">
        <v>157</v>
      </c>
      <c r="I44" s="115">
        <v>3.8199999999999998E-2</v>
      </c>
      <c r="J44" s="367"/>
      <c r="K44" s="371">
        <f t="shared" si="3"/>
        <v>0</v>
      </c>
      <c r="L44" s="353">
        <v>69.7</v>
      </c>
      <c r="M44" s="367"/>
      <c r="N44" s="372">
        <f t="shared" si="4"/>
        <v>0</v>
      </c>
      <c r="O44" s="372">
        <f t="shared" si="5"/>
        <v>0</v>
      </c>
      <c r="P44" s="290"/>
      <c r="Q44" s="298"/>
      <c r="R44" s="288"/>
      <c r="S44" s="288"/>
      <c r="T44" s="288"/>
      <c r="U44" s="265"/>
      <c r="V44" s="266"/>
      <c r="W44" s="188" t="s">
        <v>185</v>
      </c>
      <c r="X44" s="302"/>
      <c r="Y44" s="288"/>
      <c r="Z44" s="267"/>
      <c r="AA44" s="267"/>
      <c r="AB44" s="265"/>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row>
    <row r="45" spans="1:70" s="291" customFormat="1" ht="17.25" customHeight="1" x14ac:dyDescent="0.3">
      <c r="A45" s="288"/>
      <c r="B45" s="287"/>
      <c r="C45" s="355"/>
      <c r="D45" s="367"/>
      <c r="E45" s="368"/>
      <c r="F45" s="369"/>
      <c r="G45" s="736" t="s">
        <v>156</v>
      </c>
      <c r="H45" s="736" t="s">
        <v>157</v>
      </c>
      <c r="I45" s="738">
        <v>44.9</v>
      </c>
      <c r="J45" s="367"/>
      <c r="K45" s="371">
        <f t="shared" si="3"/>
        <v>0</v>
      </c>
      <c r="L45" s="353">
        <v>69.7</v>
      </c>
      <c r="M45" s="367"/>
      <c r="N45" s="372">
        <f t="shared" si="4"/>
        <v>0</v>
      </c>
      <c r="O45" s="372">
        <f t="shared" si="5"/>
        <v>0</v>
      </c>
      <c r="P45" s="290"/>
      <c r="Q45" s="298"/>
      <c r="R45" s="288"/>
      <c r="S45" s="288"/>
      <c r="T45" s="288"/>
      <c r="U45" s="265"/>
      <c r="V45" s="266"/>
      <c r="W45" s="188" t="s">
        <v>66</v>
      </c>
      <c r="X45" s="302"/>
      <c r="Y45" s="267"/>
      <c r="Z45" s="267"/>
      <c r="AA45" s="267"/>
      <c r="AB45" s="265"/>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row>
    <row r="46" spans="1:70" s="291" customFormat="1" ht="14.4" x14ac:dyDescent="0.3">
      <c r="A46" s="288"/>
      <c r="B46" s="287"/>
      <c r="C46" s="355"/>
      <c r="D46" s="367"/>
      <c r="E46" s="368"/>
      <c r="F46" s="369"/>
      <c r="G46" s="736" t="s">
        <v>152</v>
      </c>
      <c r="H46" s="736" t="s">
        <v>195</v>
      </c>
      <c r="I46" s="115">
        <v>0.151</v>
      </c>
      <c r="J46" s="367"/>
      <c r="K46" s="371">
        <f t="shared" si="3"/>
        <v>0</v>
      </c>
      <c r="L46" s="353">
        <v>72.8</v>
      </c>
      <c r="M46" s="367"/>
      <c r="N46" s="372">
        <f t="shared" si="4"/>
        <v>0</v>
      </c>
      <c r="O46" s="372">
        <f t="shared" si="5"/>
        <v>0</v>
      </c>
      <c r="P46" s="290"/>
      <c r="Q46" s="298"/>
      <c r="R46" s="288"/>
      <c r="S46" s="288"/>
      <c r="T46" s="288"/>
      <c r="U46" s="265"/>
      <c r="V46" s="266"/>
      <c r="W46" s="288" t="s">
        <v>610</v>
      </c>
      <c r="X46" s="303"/>
      <c r="Y46" s="303"/>
      <c r="Z46" s="267"/>
      <c r="AA46" s="267"/>
      <c r="AB46" s="265"/>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row>
    <row r="47" spans="1:70" s="291" customFormat="1" ht="15" customHeight="1" thickBot="1" x14ac:dyDescent="0.35">
      <c r="A47" s="288"/>
      <c r="B47" s="287"/>
      <c r="C47" s="355"/>
      <c r="D47" s="367"/>
      <c r="E47" s="368"/>
      <c r="F47" s="369"/>
      <c r="G47" s="736" t="s">
        <v>162</v>
      </c>
      <c r="H47" s="736" t="s">
        <v>195</v>
      </c>
      <c r="I47" s="740">
        <v>0.18099999999999999</v>
      </c>
      <c r="J47" s="367"/>
      <c r="K47" s="371">
        <f t="shared" si="3"/>
        <v>0</v>
      </c>
      <c r="L47" s="353">
        <v>72.8</v>
      </c>
      <c r="M47" s="367"/>
      <c r="N47" s="372">
        <f t="shared" si="4"/>
        <v>0</v>
      </c>
      <c r="O47" s="372">
        <f t="shared" si="5"/>
        <v>0</v>
      </c>
      <c r="P47" s="290"/>
      <c r="Q47" s="298"/>
      <c r="R47" s="288"/>
      <c r="S47" s="288"/>
      <c r="T47" s="288"/>
      <c r="U47" s="267"/>
      <c r="V47" s="287"/>
      <c r="W47" s="816" t="s">
        <v>611</v>
      </c>
      <c r="X47" s="817"/>
      <c r="Y47" s="817"/>
      <c r="Z47" s="817"/>
      <c r="AA47" s="288"/>
      <c r="AB47" s="286"/>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row>
    <row r="48" spans="1:70" s="291" customFormat="1" ht="15" customHeight="1" thickTop="1" x14ac:dyDescent="0.3">
      <c r="A48" s="288"/>
      <c r="B48" s="287"/>
      <c r="C48" s="355"/>
      <c r="D48" s="367"/>
      <c r="E48" s="368"/>
      <c r="F48" s="369"/>
      <c r="G48" s="736" t="s">
        <v>163</v>
      </c>
      <c r="H48" s="736" t="s">
        <v>195</v>
      </c>
      <c r="I48" s="743">
        <v>6.34</v>
      </c>
      <c r="J48" s="367"/>
      <c r="K48" s="371">
        <f t="shared" si="3"/>
        <v>0</v>
      </c>
      <c r="L48" s="353">
        <v>72.8</v>
      </c>
      <c r="M48" s="367"/>
      <c r="N48" s="372">
        <f t="shared" si="4"/>
        <v>0</v>
      </c>
      <c r="O48" s="372">
        <f t="shared" si="5"/>
        <v>0</v>
      </c>
      <c r="P48" s="290"/>
      <c r="Q48" s="298"/>
      <c r="R48" s="288"/>
      <c r="S48" s="288"/>
      <c r="T48" s="288"/>
      <c r="U48" s="265"/>
      <c r="V48" s="287"/>
      <c r="W48" s="765"/>
      <c r="X48" s="765"/>
      <c r="Y48" s="765"/>
      <c r="Z48" s="765"/>
      <c r="AA48" s="288"/>
      <c r="AB48" s="286"/>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row>
    <row r="49" spans="1:70" s="291" customFormat="1" ht="15" customHeight="1" thickBot="1" x14ac:dyDescent="0.35">
      <c r="A49" s="288"/>
      <c r="B49" s="287"/>
      <c r="C49" s="355"/>
      <c r="D49" s="367"/>
      <c r="E49" s="368"/>
      <c r="F49" s="369"/>
      <c r="G49" s="736" t="s">
        <v>156</v>
      </c>
      <c r="H49" s="736" t="s">
        <v>195</v>
      </c>
      <c r="I49" s="738">
        <v>44.5</v>
      </c>
      <c r="J49" s="367"/>
      <c r="K49" s="371">
        <f t="shared" si="3"/>
        <v>0</v>
      </c>
      <c r="L49" s="353">
        <v>72.8</v>
      </c>
      <c r="M49" s="367"/>
      <c r="N49" s="372">
        <f t="shared" si="4"/>
        <v>0</v>
      </c>
      <c r="O49" s="372">
        <f t="shared" si="5"/>
        <v>0</v>
      </c>
      <c r="P49" s="290"/>
      <c r="Q49" s="298"/>
      <c r="R49" s="288"/>
      <c r="S49" s="288"/>
      <c r="T49" s="288"/>
      <c r="U49" s="286"/>
      <c r="V49" s="430"/>
      <c r="W49" s="818"/>
      <c r="X49" s="818"/>
      <c r="Y49" s="818"/>
      <c r="Z49" s="818"/>
      <c r="AA49" s="304"/>
      <c r="AB49" s="305"/>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row>
    <row r="50" spans="1:70" s="291" customFormat="1" ht="15" customHeight="1" thickTop="1" x14ac:dyDescent="0.3">
      <c r="A50" s="288"/>
      <c r="B50" s="287"/>
      <c r="C50" s="355"/>
      <c r="D50" s="367"/>
      <c r="E50" s="368"/>
      <c r="F50" s="369"/>
      <c r="G50" s="736" t="s">
        <v>164</v>
      </c>
      <c r="H50" s="736" t="s">
        <v>196</v>
      </c>
      <c r="I50" s="744">
        <v>28.5</v>
      </c>
      <c r="J50" s="367"/>
      <c r="K50" s="371">
        <f t="shared" si="3"/>
        <v>0</v>
      </c>
      <c r="L50" s="408">
        <v>88.1</v>
      </c>
      <c r="M50" s="367"/>
      <c r="N50" s="372">
        <f t="shared" si="4"/>
        <v>0</v>
      </c>
      <c r="O50" s="372">
        <f t="shared" si="5"/>
        <v>0</v>
      </c>
      <c r="P50" s="290"/>
      <c r="Q50" s="29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row>
    <row r="51" spans="1:70" s="291" customFormat="1" ht="15" customHeight="1" x14ac:dyDescent="0.3">
      <c r="A51" s="288"/>
      <c r="B51" s="287"/>
      <c r="C51" s="355"/>
      <c r="D51" s="367"/>
      <c r="E51" s="368"/>
      <c r="F51" s="369"/>
      <c r="G51" s="736" t="s">
        <v>156</v>
      </c>
      <c r="H51" s="736" t="s">
        <v>196</v>
      </c>
      <c r="I51" s="744">
        <v>31.4</v>
      </c>
      <c r="J51" s="367"/>
      <c r="K51" s="371">
        <f t="shared" si="3"/>
        <v>0</v>
      </c>
      <c r="L51" s="408">
        <v>88.1</v>
      </c>
      <c r="M51" s="367"/>
      <c r="N51" s="372">
        <f t="shared" si="4"/>
        <v>0</v>
      </c>
      <c r="O51" s="372">
        <f t="shared" si="5"/>
        <v>0</v>
      </c>
      <c r="P51" s="290"/>
      <c r="Q51" s="29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row>
    <row r="52" spans="1:70" s="291" customFormat="1" ht="15" customHeight="1" thickBot="1" x14ac:dyDescent="0.35">
      <c r="A52" s="288"/>
      <c r="B52" s="287"/>
      <c r="C52" s="355"/>
      <c r="D52" s="392"/>
      <c r="E52" s="393"/>
      <c r="F52" s="394"/>
      <c r="G52" s="393"/>
      <c r="H52" s="745" t="s">
        <v>165</v>
      </c>
      <c r="I52" s="407"/>
      <c r="J52" s="392"/>
      <c r="K52" s="396">
        <f t="shared" si="3"/>
        <v>0</v>
      </c>
      <c r="L52" s="395"/>
      <c r="M52" s="392"/>
      <c r="N52" s="398">
        <f t="shared" si="4"/>
        <v>0</v>
      </c>
      <c r="O52" s="398">
        <f t="shared" si="5"/>
        <v>0</v>
      </c>
      <c r="P52" s="306"/>
      <c r="Q52" s="29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row>
    <row r="53" spans="1:70" s="272" customFormat="1" ht="20.25" customHeight="1" thickBot="1" x14ac:dyDescent="0.3">
      <c r="A53" s="275"/>
      <c r="B53" s="271"/>
      <c r="C53" s="337" t="s">
        <v>166</v>
      </c>
      <c r="D53" s="356"/>
      <c r="E53" s="356"/>
      <c r="F53" s="357"/>
      <c r="G53" s="358"/>
      <c r="H53" s="358"/>
      <c r="I53" s="356"/>
      <c r="J53" s="356"/>
      <c r="K53" s="359">
        <f>SUM(K54:K68)</f>
        <v>0</v>
      </c>
      <c r="L53" s="356"/>
      <c r="M53" s="360"/>
      <c r="N53" s="359">
        <f>SUM(N54:N68)</f>
        <v>0</v>
      </c>
      <c r="O53" s="359">
        <f>SUM(O54:O68)</f>
        <v>0</v>
      </c>
      <c r="P53" s="273"/>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row>
    <row r="54" spans="1:70" s="291" customFormat="1" ht="15" customHeight="1" x14ac:dyDescent="0.3">
      <c r="A54" s="288"/>
      <c r="B54" s="287"/>
      <c r="C54" s="355"/>
      <c r="D54" s="367"/>
      <c r="E54" s="368"/>
      <c r="F54" s="369"/>
      <c r="G54" s="736" t="s">
        <v>152</v>
      </c>
      <c r="H54" s="736" t="s">
        <v>153</v>
      </c>
      <c r="I54" s="115">
        <v>0.13700000000000001</v>
      </c>
      <c r="J54" s="367"/>
      <c r="K54" s="371">
        <f t="shared" ref="K54:K68" si="6">F54*IF(J54=0,I54,J54)</f>
        <v>0</v>
      </c>
      <c r="L54" s="352">
        <v>65.2</v>
      </c>
      <c r="M54" s="367"/>
      <c r="N54" s="372">
        <f>E54*K54*IF(M54=0,L54,M54)/1000</f>
        <v>0</v>
      </c>
      <c r="O54" s="372">
        <f>(1-E54)*K54*IF(M54=0,L54,M54)/1000</f>
        <v>0</v>
      </c>
      <c r="P54" s="290"/>
      <c r="Q54" s="29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row>
    <row r="55" spans="1:70" s="291" customFormat="1" ht="15" customHeight="1" x14ac:dyDescent="0.3">
      <c r="A55" s="288"/>
      <c r="B55" s="287"/>
      <c r="C55" s="355"/>
      <c r="D55" s="367"/>
      <c r="E55" s="368"/>
      <c r="F55" s="369"/>
      <c r="G55" s="736" t="s">
        <v>154</v>
      </c>
      <c r="H55" s="736" t="s">
        <v>153</v>
      </c>
      <c r="I55" s="115">
        <v>0.16500000000000001</v>
      </c>
      <c r="J55" s="367"/>
      <c r="K55" s="371">
        <f t="shared" si="6"/>
        <v>0</v>
      </c>
      <c r="L55" s="352">
        <v>65.2</v>
      </c>
      <c r="M55" s="367"/>
      <c r="N55" s="372">
        <f t="shared" ref="N55:N68" si="7">E55*K55*IF(M55=0,L55,M55)/1000</f>
        <v>0</v>
      </c>
      <c r="O55" s="372">
        <f t="shared" ref="O55:O68" si="8">(1-E55)*K55*IF(M55=0,L55,M55)/1000</f>
        <v>0</v>
      </c>
      <c r="P55" s="290"/>
      <c r="Q55" s="29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row>
    <row r="56" spans="1:70" s="291" customFormat="1" ht="15" customHeight="1" x14ac:dyDescent="0.3">
      <c r="A56" s="288"/>
      <c r="B56" s="287"/>
      <c r="C56" s="355"/>
      <c r="D56" s="367"/>
      <c r="E56" s="368"/>
      <c r="F56" s="369"/>
      <c r="G56" s="736" t="s">
        <v>155</v>
      </c>
      <c r="H56" s="736" t="s">
        <v>153</v>
      </c>
      <c r="I56" s="115">
        <v>3.6200000000000003E-2</v>
      </c>
      <c r="J56" s="367"/>
      <c r="K56" s="371">
        <f t="shared" si="6"/>
        <v>0</v>
      </c>
      <c r="L56" s="352">
        <v>65.2</v>
      </c>
      <c r="M56" s="367"/>
      <c r="N56" s="372">
        <f t="shared" si="7"/>
        <v>0</v>
      </c>
      <c r="O56" s="372">
        <f t="shared" si="8"/>
        <v>0</v>
      </c>
      <c r="P56" s="290"/>
      <c r="Q56" s="29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row>
    <row r="57" spans="1:70" s="291" customFormat="1" ht="15" customHeight="1" x14ac:dyDescent="0.3">
      <c r="A57" s="288"/>
      <c r="B57" s="287"/>
      <c r="C57" s="355"/>
      <c r="D57" s="367"/>
      <c r="E57" s="368"/>
      <c r="F57" s="369"/>
      <c r="G57" s="736" t="s">
        <v>156</v>
      </c>
      <c r="H57" s="736" t="s">
        <v>153</v>
      </c>
      <c r="I57" s="737">
        <v>49</v>
      </c>
      <c r="J57" s="367"/>
      <c r="K57" s="371">
        <f t="shared" si="6"/>
        <v>0</v>
      </c>
      <c r="L57" s="352">
        <v>65.2</v>
      </c>
      <c r="M57" s="367"/>
      <c r="N57" s="372">
        <f t="shared" si="7"/>
        <v>0</v>
      </c>
      <c r="O57" s="372">
        <f t="shared" si="8"/>
        <v>0</v>
      </c>
      <c r="P57" s="290"/>
      <c r="Q57" s="29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row>
    <row r="58" spans="1:70" s="291" customFormat="1" ht="15" customHeight="1" x14ac:dyDescent="0.3">
      <c r="A58" s="288"/>
      <c r="B58" s="287"/>
      <c r="C58" s="355"/>
      <c r="D58" s="367"/>
      <c r="E58" s="368"/>
      <c r="F58" s="369"/>
      <c r="G58" s="736" t="s">
        <v>152</v>
      </c>
      <c r="H58" s="736" t="s">
        <v>157</v>
      </c>
      <c r="I58" s="115">
        <v>0.14499999999999999</v>
      </c>
      <c r="J58" s="367"/>
      <c r="K58" s="371">
        <f t="shared" si="6"/>
        <v>0</v>
      </c>
      <c r="L58" s="353">
        <v>69.7</v>
      </c>
      <c r="M58" s="367"/>
      <c r="N58" s="372">
        <f t="shared" si="7"/>
        <v>0</v>
      </c>
      <c r="O58" s="372">
        <f t="shared" si="8"/>
        <v>0</v>
      </c>
      <c r="P58" s="290"/>
      <c r="Q58" s="29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row>
    <row r="59" spans="1:70" s="291" customFormat="1" ht="15" customHeight="1" x14ac:dyDescent="0.3">
      <c r="A59" s="288"/>
      <c r="B59" s="287"/>
      <c r="C59" s="355"/>
      <c r="D59" s="367"/>
      <c r="E59" s="368"/>
      <c r="F59" s="369"/>
      <c r="G59" s="736" t="s">
        <v>154</v>
      </c>
      <c r="H59" s="736" t="s">
        <v>157</v>
      </c>
      <c r="I59" s="115">
        <v>0.17399999999999999</v>
      </c>
      <c r="J59" s="367"/>
      <c r="K59" s="371">
        <f t="shared" si="6"/>
        <v>0</v>
      </c>
      <c r="L59" s="353">
        <v>69.7</v>
      </c>
      <c r="M59" s="367"/>
      <c r="N59" s="372">
        <f t="shared" si="7"/>
        <v>0</v>
      </c>
      <c r="O59" s="372">
        <f t="shared" si="8"/>
        <v>0</v>
      </c>
      <c r="P59" s="290"/>
      <c r="Q59" s="29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row>
    <row r="60" spans="1:70" s="291" customFormat="1" ht="15" customHeight="1" x14ac:dyDescent="0.3">
      <c r="A60" s="288"/>
      <c r="B60" s="287"/>
      <c r="C60" s="355"/>
      <c r="D60" s="367"/>
      <c r="E60" s="368"/>
      <c r="F60" s="369"/>
      <c r="G60" s="736" t="s">
        <v>155</v>
      </c>
      <c r="H60" s="736" t="s">
        <v>157</v>
      </c>
      <c r="I60" s="115">
        <v>3.8199999999999998E-2</v>
      </c>
      <c r="J60" s="367"/>
      <c r="K60" s="371">
        <f t="shared" si="6"/>
        <v>0</v>
      </c>
      <c r="L60" s="353">
        <v>69.7</v>
      </c>
      <c r="M60" s="367"/>
      <c r="N60" s="372">
        <f t="shared" si="7"/>
        <v>0</v>
      </c>
      <c r="O60" s="372">
        <f t="shared" si="8"/>
        <v>0</v>
      </c>
      <c r="P60" s="290"/>
      <c r="Q60" s="29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row>
    <row r="61" spans="1:70" s="291" customFormat="1" ht="15" customHeight="1" x14ac:dyDescent="0.3">
      <c r="A61" s="288"/>
      <c r="B61" s="287"/>
      <c r="C61" s="355"/>
      <c r="D61" s="367"/>
      <c r="E61" s="368"/>
      <c r="F61" s="369"/>
      <c r="G61" s="736" t="s">
        <v>156</v>
      </c>
      <c r="H61" s="736" t="s">
        <v>157</v>
      </c>
      <c r="I61" s="738">
        <v>44.9</v>
      </c>
      <c r="J61" s="367"/>
      <c r="K61" s="371">
        <f t="shared" si="6"/>
        <v>0</v>
      </c>
      <c r="L61" s="353">
        <v>69.7</v>
      </c>
      <c r="M61" s="367"/>
      <c r="N61" s="372">
        <f t="shared" si="7"/>
        <v>0</v>
      </c>
      <c r="O61" s="372">
        <f t="shared" si="8"/>
        <v>0</v>
      </c>
      <c r="P61" s="290"/>
      <c r="Q61" s="29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row>
    <row r="62" spans="1:70" s="291" customFormat="1" ht="15" customHeight="1" x14ac:dyDescent="0.3">
      <c r="A62" s="288"/>
      <c r="B62" s="287"/>
      <c r="C62" s="355"/>
      <c r="D62" s="367"/>
      <c r="E62" s="368"/>
      <c r="F62" s="369"/>
      <c r="G62" s="736" t="s">
        <v>152</v>
      </c>
      <c r="H62" s="736" t="s">
        <v>195</v>
      </c>
      <c r="I62" s="115">
        <v>0.151</v>
      </c>
      <c r="J62" s="367"/>
      <c r="K62" s="371">
        <f t="shared" si="6"/>
        <v>0</v>
      </c>
      <c r="L62" s="353">
        <v>72.8</v>
      </c>
      <c r="M62" s="367"/>
      <c r="N62" s="372">
        <f t="shared" si="7"/>
        <v>0</v>
      </c>
      <c r="O62" s="372">
        <f t="shared" si="8"/>
        <v>0</v>
      </c>
      <c r="P62" s="290"/>
      <c r="Q62" s="29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row>
    <row r="63" spans="1:70" s="291" customFormat="1" ht="15" customHeight="1" x14ac:dyDescent="0.3">
      <c r="A63" s="288"/>
      <c r="B63" s="287"/>
      <c r="C63" s="355"/>
      <c r="D63" s="367"/>
      <c r="E63" s="368"/>
      <c r="F63" s="369"/>
      <c r="G63" s="736" t="s">
        <v>162</v>
      </c>
      <c r="H63" s="736" t="s">
        <v>195</v>
      </c>
      <c r="I63" s="740">
        <v>0.18099999999999999</v>
      </c>
      <c r="J63" s="367"/>
      <c r="K63" s="371">
        <f t="shared" si="6"/>
        <v>0</v>
      </c>
      <c r="L63" s="353">
        <v>72.8</v>
      </c>
      <c r="M63" s="367"/>
      <c r="N63" s="372">
        <f t="shared" si="7"/>
        <v>0</v>
      </c>
      <c r="O63" s="372">
        <f t="shared" si="8"/>
        <v>0</v>
      </c>
      <c r="P63" s="290"/>
      <c r="Q63" s="29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row>
    <row r="64" spans="1:70" s="291" customFormat="1" ht="15" customHeight="1" x14ac:dyDescent="0.3">
      <c r="A64" s="288"/>
      <c r="B64" s="287"/>
      <c r="C64" s="355"/>
      <c r="D64" s="367"/>
      <c r="E64" s="368"/>
      <c r="F64" s="369"/>
      <c r="G64" s="736" t="s">
        <v>163</v>
      </c>
      <c r="H64" s="736" t="s">
        <v>195</v>
      </c>
      <c r="I64" s="743">
        <v>6.34</v>
      </c>
      <c r="J64" s="367"/>
      <c r="K64" s="371">
        <f t="shared" si="6"/>
        <v>0</v>
      </c>
      <c r="L64" s="353">
        <v>72.8</v>
      </c>
      <c r="M64" s="367"/>
      <c r="N64" s="372">
        <f t="shared" si="7"/>
        <v>0</v>
      </c>
      <c r="O64" s="372">
        <f t="shared" si="8"/>
        <v>0</v>
      </c>
      <c r="P64" s="290"/>
      <c r="Q64" s="29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row>
    <row r="65" spans="1:70" s="291" customFormat="1" ht="15" customHeight="1" x14ac:dyDescent="0.3">
      <c r="A65" s="288"/>
      <c r="B65" s="287"/>
      <c r="C65" s="355"/>
      <c r="D65" s="367"/>
      <c r="E65" s="368"/>
      <c r="F65" s="369"/>
      <c r="G65" s="736" t="s">
        <v>156</v>
      </c>
      <c r="H65" s="736" t="s">
        <v>195</v>
      </c>
      <c r="I65" s="738">
        <v>44.5</v>
      </c>
      <c r="J65" s="367"/>
      <c r="K65" s="371">
        <f t="shared" si="6"/>
        <v>0</v>
      </c>
      <c r="L65" s="353">
        <v>72.8</v>
      </c>
      <c r="M65" s="367"/>
      <c r="N65" s="372">
        <f t="shared" si="7"/>
        <v>0</v>
      </c>
      <c r="O65" s="372">
        <f t="shared" si="8"/>
        <v>0</v>
      </c>
      <c r="P65" s="290"/>
      <c r="Q65" s="29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row>
    <row r="66" spans="1:70" s="291" customFormat="1" ht="15" customHeight="1" x14ac:dyDescent="0.3">
      <c r="A66" s="288"/>
      <c r="B66" s="287"/>
      <c r="C66" s="355"/>
      <c r="D66" s="367"/>
      <c r="E66" s="368"/>
      <c r="F66" s="369"/>
      <c r="G66" s="736" t="s">
        <v>164</v>
      </c>
      <c r="H66" s="736" t="s">
        <v>196</v>
      </c>
      <c r="I66" s="744">
        <v>28.5</v>
      </c>
      <c r="J66" s="367"/>
      <c r="K66" s="371">
        <f t="shared" si="6"/>
        <v>0</v>
      </c>
      <c r="L66" s="408">
        <v>88.1</v>
      </c>
      <c r="M66" s="367"/>
      <c r="N66" s="372">
        <f t="shared" si="7"/>
        <v>0</v>
      </c>
      <c r="O66" s="372">
        <f t="shared" si="8"/>
        <v>0</v>
      </c>
      <c r="P66" s="290"/>
      <c r="Q66" s="29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row>
    <row r="67" spans="1:70" s="291" customFormat="1" ht="15" customHeight="1" x14ac:dyDescent="0.3">
      <c r="A67" s="288"/>
      <c r="B67" s="287"/>
      <c r="C67" s="355"/>
      <c r="D67" s="367"/>
      <c r="E67" s="368"/>
      <c r="F67" s="369"/>
      <c r="G67" s="736" t="s">
        <v>156</v>
      </c>
      <c r="H67" s="736" t="s">
        <v>196</v>
      </c>
      <c r="I67" s="744">
        <v>31.4</v>
      </c>
      <c r="J67" s="367"/>
      <c r="K67" s="371">
        <f t="shared" si="6"/>
        <v>0</v>
      </c>
      <c r="L67" s="408">
        <v>88.1</v>
      </c>
      <c r="M67" s="367"/>
      <c r="N67" s="372">
        <f t="shared" si="7"/>
        <v>0</v>
      </c>
      <c r="O67" s="372">
        <f t="shared" si="8"/>
        <v>0</v>
      </c>
      <c r="P67" s="290"/>
      <c r="Q67" s="29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row>
    <row r="68" spans="1:70" s="291" customFormat="1" ht="14.25" customHeight="1" thickBot="1" x14ac:dyDescent="0.35">
      <c r="A68" s="288"/>
      <c r="B68" s="287"/>
      <c r="C68" s="355"/>
      <c r="D68" s="367"/>
      <c r="E68" s="368"/>
      <c r="F68" s="369"/>
      <c r="G68" s="368"/>
      <c r="H68" s="746" t="s">
        <v>165</v>
      </c>
      <c r="I68" s="409"/>
      <c r="J68" s="367"/>
      <c r="K68" s="371">
        <f t="shared" si="6"/>
        <v>0</v>
      </c>
      <c r="L68" s="370"/>
      <c r="M68" s="367"/>
      <c r="N68" s="372">
        <f t="shared" si="7"/>
        <v>0</v>
      </c>
      <c r="O68" s="372">
        <f t="shared" si="8"/>
        <v>0</v>
      </c>
      <c r="P68" s="290"/>
      <c r="Q68" s="29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row>
    <row r="69" spans="1:70" s="291" customFormat="1" ht="1.5" hidden="1" customHeight="1" thickBot="1" x14ac:dyDescent="0.35">
      <c r="A69" s="288"/>
      <c r="B69" s="287"/>
      <c r="C69" s="373" t="s">
        <v>167</v>
      </c>
      <c r="D69" s="355"/>
      <c r="E69" s="355"/>
      <c r="F69" s="374"/>
      <c r="G69" s="355"/>
      <c r="H69" s="355"/>
      <c r="I69" s="375"/>
      <c r="J69" s="355"/>
      <c r="K69" s="374"/>
      <c r="L69" s="355"/>
      <c r="M69" s="355"/>
      <c r="N69" s="366"/>
      <c r="O69" s="376"/>
      <c r="P69" s="290"/>
      <c r="Q69" s="29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row>
    <row r="70" spans="1:70" s="272" customFormat="1" ht="20.25" customHeight="1" thickBot="1" x14ac:dyDescent="0.3">
      <c r="A70" s="275"/>
      <c r="B70" s="271"/>
      <c r="C70" s="400" t="s">
        <v>291</v>
      </c>
      <c r="D70" s="401"/>
      <c r="E70" s="400"/>
      <c r="F70" s="402"/>
      <c r="G70" s="403"/>
      <c r="H70" s="403"/>
      <c r="I70" s="404"/>
      <c r="J70" s="403"/>
      <c r="K70" s="405"/>
      <c r="L70" s="403"/>
      <c r="M70" s="403"/>
      <c r="N70" s="406">
        <f>(SUM(N22:N69)+N20)/2</f>
        <v>0</v>
      </c>
      <c r="O70" s="406">
        <f>(SUM(O22:O69)+O20)/2</f>
        <v>0</v>
      </c>
      <c r="P70" s="273"/>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275"/>
      <c r="BA70" s="275"/>
      <c r="BB70" s="275"/>
      <c r="BC70" s="275"/>
      <c r="BD70" s="275"/>
      <c r="BE70" s="275"/>
      <c r="BF70" s="275"/>
      <c r="BG70" s="275"/>
      <c r="BH70" s="275"/>
      <c r="BI70" s="275"/>
      <c r="BJ70" s="275"/>
      <c r="BK70" s="275"/>
      <c r="BL70" s="275"/>
      <c r="BM70" s="275"/>
      <c r="BN70" s="275"/>
      <c r="BO70" s="275"/>
      <c r="BP70" s="275"/>
      <c r="BQ70" s="275"/>
      <c r="BR70" s="275"/>
    </row>
    <row r="71" spans="1:70" s="275" customFormat="1" ht="20.25" customHeight="1" thickBot="1" x14ac:dyDescent="0.3">
      <c r="B71" s="308"/>
      <c r="C71" s="309" t="s">
        <v>212</v>
      </c>
      <c r="D71" s="377"/>
      <c r="E71" s="377"/>
      <c r="F71" s="377"/>
      <c r="G71" s="377"/>
      <c r="H71" s="377"/>
      <c r="I71" s="377"/>
      <c r="J71" s="377"/>
      <c r="K71" s="377"/>
      <c r="L71" s="377"/>
      <c r="M71" s="378"/>
      <c r="N71" s="377"/>
      <c r="O71" s="377"/>
      <c r="P71" s="307"/>
    </row>
    <row r="72" spans="1:70" s="92" customFormat="1" ht="18" customHeight="1" thickTop="1" thickBot="1" x14ac:dyDescent="0.35">
      <c r="B72" s="107"/>
      <c r="C72" s="107"/>
      <c r="D72" s="107"/>
      <c r="E72" s="108"/>
      <c r="F72" s="109"/>
      <c r="G72" s="110"/>
      <c r="H72" s="97"/>
      <c r="I72" s="97"/>
      <c r="J72" s="97"/>
      <c r="K72" s="97"/>
      <c r="L72" s="35"/>
      <c r="M72" s="35"/>
      <c r="N72" s="35"/>
      <c r="O72" s="35"/>
      <c r="P72" s="35"/>
      <c r="Q72" s="35"/>
      <c r="R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s="92" customFormat="1" ht="29.25" customHeight="1" thickTop="1" thickBot="1" x14ac:dyDescent="0.5">
      <c r="B73" s="310"/>
      <c r="C73" s="379"/>
      <c r="D73" s="379"/>
      <c r="E73" s="379"/>
      <c r="F73" s="379"/>
      <c r="G73" s="379"/>
      <c r="H73" s="379"/>
      <c r="I73" s="379"/>
      <c r="J73" s="379"/>
      <c r="K73" s="379"/>
      <c r="L73" s="379"/>
      <c r="M73" s="380"/>
      <c r="N73" s="380"/>
      <c r="O73" s="118"/>
      <c r="P73" s="102"/>
      <c r="Q73" s="35"/>
      <c r="R73" s="35"/>
      <c r="S73" s="35"/>
      <c r="T73" s="35"/>
      <c r="U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row>
    <row r="74" spans="1:70" s="218" customFormat="1" ht="28.5" customHeight="1" thickTop="1" x14ac:dyDescent="0.3">
      <c r="A74" s="265"/>
      <c r="B74" s="311"/>
      <c r="C74" s="381" t="s">
        <v>385</v>
      </c>
      <c r="D74" s="382"/>
      <c r="E74" s="382"/>
      <c r="F74" s="382"/>
      <c r="G74" s="312"/>
      <c r="H74" s="312"/>
      <c r="I74" s="312"/>
      <c r="J74" s="312"/>
      <c r="K74" s="313"/>
      <c r="L74" s="313"/>
      <c r="M74" s="312"/>
      <c r="N74" s="312"/>
      <c r="O74" s="35"/>
      <c r="P74" s="265"/>
      <c r="Q74" s="314"/>
      <c r="R74" s="314"/>
      <c r="S74" s="314"/>
      <c r="T74" s="314"/>
      <c r="U74" s="314"/>
      <c r="V74" s="315"/>
      <c r="W74" s="316"/>
      <c r="X74" s="118"/>
      <c r="Y74" s="101"/>
      <c r="Z74" s="101"/>
      <c r="AA74" s="101"/>
      <c r="AB74" s="118"/>
      <c r="AC74" s="118"/>
      <c r="AD74" s="102"/>
      <c r="AE74" s="35"/>
      <c r="AF74" s="317"/>
      <c r="AG74" s="35"/>
      <c r="AH74" s="35"/>
      <c r="AI74" s="35"/>
      <c r="AJ74" s="35"/>
      <c r="AK74" s="35"/>
      <c r="AL74" s="35"/>
      <c r="AM74" s="35"/>
      <c r="AN74" s="35"/>
      <c r="AO74" s="35"/>
      <c r="AP74" s="267"/>
      <c r="AQ74" s="267"/>
      <c r="AR74" s="267"/>
      <c r="AS74" s="267"/>
      <c r="AT74" s="267"/>
      <c r="AU74" s="267"/>
      <c r="AV74" s="267"/>
      <c r="AW74" s="267"/>
      <c r="AX74" s="267"/>
      <c r="AY74" s="267"/>
      <c r="AZ74" s="267"/>
      <c r="BA74" s="267"/>
      <c r="BB74" s="267"/>
      <c r="BC74" s="267"/>
      <c r="BD74" s="267"/>
      <c r="BE74" s="267"/>
      <c r="BF74" s="267"/>
      <c r="BG74" s="267"/>
      <c r="BH74" s="267"/>
      <c r="BI74" s="267"/>
      <c r="BJ74" s="267"/>
      <c r="BK74" s="267"/>
      <c r="BL74" s="267"/>
      <c r="BM74" s="267"/>
      <c r="BN74" s="267"/>
      <c r="BO74" s="267"/>
      <c r="BP74" s="267"/>
      <c r="BQ74" s="267"/>
      <c r="BR74" s="267"/>
    </row>
    <row r="75" spans="1:70" s="92" customFormat="1" ht="18" customHeight="1" x14ac:dyDescent="0.35">
      <c r="A75" s="104"/>
      <c r="B75" s="318" t="s">
        <v>387</v>
      </c>
      <c r="C75" s="116"/>
      <c r="D75" s="116"/>
      <c r="E75" s="116"/>
      <c r="F75" s="125"/>
      <c r="G75" s="126"/>
      <c r="H75" s="103"/>
      <c r="I75" s="35"/>
      <c r="J75" s="35"/>
      <c r="K75" s="35"/>
      <c r="L75" s="35"/>
      <c r="M75" s="35"/>
      <c r="N75" s="35"/>
      <c r="O75" s="35"/>
      <c r="P75" s="104"/>
      <c r="Q75" s="35"/>
      <c r="R75" s="35"/>
      <c r="S75" s="35"/>
      <c r="T75" s="35"/>
      <c r="U75" s="35"/>
      <c r="V75" s="104"/>
      <c r="W75" s="181"/>
      <c r="X75" s="183"/>
      <c r="Y75" s="319" t="s">
        <v>211</v>
      </c>
      <c r="Z75" s="183"/>
      <c r="AA75" s="183"/>
      <c r="AB75" s="183"/>
      <c r="AC75" s="183"/>
      <c r="AD75" s="184"/>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0" s="92" customFormat="1" ht="18" customHeight="1" x14ac:dyDescent="0.3">
      <c r="B76" s="119"/>
      <c r="C76" s="35"/>
      <c r="D76" s="103"/>
      <c r="E76" s="103"/>
      <c r="F76" s="103"/>
      <c r="G76" s="103"/>
      <c r="H76" s="35"/>
      <c r="I76" s="35"/>
      <c r="J76" s="35"/>
      <c r="K76" s="35"/>
      <c r="L76" s="35"/>
      <c r="M76" s="35"/>
      <c r="N76" s="35"/>
      <c r="O76" s="35"/>
      <c r="P76" s="104"/>
      <c r="Q76" s="35"/>
      <c r="R76" s="35"/>
      <c r="S76" s="35"/>
      <c r="T76" s="35"/>
      <c r="U76" s="35"/>
      <c r="V76" s="104"/>
      <c r="W76" s="181"/>
      <c r="X76" s="320"/>
      <c r="Y76" s="176" t="s">
        <v>203</v>
      </c>
      <c r="Z76" s="322"/>
      <c r="AA76" s="322"/>
      <c r="AB76" s="322"/>
      <c r="AC76" s="322"/>
      <c r="AD76" s="184"/>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row>
    <row r="77" spans="1:70" s="92" customFormat="1" ht="18" customHeight="1" x14ac:dyDescent="0.3">
      <c r="B77" s="119"/>
      <c r="C77" s="35"/>
      <c r="D77" s="120"/>
      <c r="E77" s="804" t="s">
        <v>450</v>
      </c>
      <c r="F77" s="805"/>
      <c r="G77" s="804" t="s">
        <v>465</v>
      </c>
      <c r="H77" s="806"/>
      <c r="I77" s="805"/>
      <c r="J77" s="804" t="s">
        <v>466</v>
      </c>
      <c r="K77" s="809"/>
      <c r="L77" s="810"/>
      <c r="M77" s="811" t="s">
        <v>467</v>
      </c>
      <c r="N77" s="809"/>
      <c r="O77" s="810"/>
      <c r="P77" s="104"/>
      <c r="Q77" s="35"/>
      <c r="R77" s="35"/>
      <c r="S77" s="35"/>
      <c r="T77" s="35"/>
      <c r="U77" s="35"/>
      <c r="V77" s="104"/>
      <c r="W77" s="181"/>
      <c r="X77" s="323"/>
      <c r="Y77" s="324" t="s">
        <v>204</v>
      </c>
      <c r="Z77" s="325"/>
      <c r="AA77" s="325"/>
      <c r="AB77" s="325"/>
      <c r="AC77" s="183"/>
      <c r="AD77" s="184"/>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row>
    <row r="78" spans="1:70" s="92" customFormat="1" ht="50.25" customHeight="1" x14ac:dyDescent="0.3">
      <c r="B78" s="119"/>
      <c r="C78" s="35"/>
      <c r="D78" s="120"/>
      <c r="E78" s="151" t="s">
        <v>359</v>
      </c>
      <c r="F78" s="151" t="s">
        <v>360</v>
      </c>
      <c r="G78" s="151" t="s">
        <v>334</v>
      </c>
      <c r="H78" s="152" t="s">
        <v>493</v>
      </c>
      <c r="I78" s="154" t="s">
        <v>335</v>
      </c>
      <c r="J78" s="155" t="s">
        <v>336</v>
      </c>
      <c r="K78" s="416" t="s">
        <v>339</v>
      </c>
      <c r="L78" s="416" t="s">
        <v>348</v>
      </c>
      <c r="M78" s="153" t="s">
        <v>44</v>
      </c>
      <c r="N78" s="153" t="s">
        <v>55</v>
      </c>
      <c r="O78" s="153" t="s">
        <v>56</v>
      </c>
      <c r="P78" s="104"/>
      <c r="Q78" s="35"/>
      <c r="R78" s="35"/>
      <c r="S78" s="35"/>
      <c r="T78" s="35"/>
      <c r="U78" s="35"/>
      <c r="V78" s="104"/>
      <c r="W78" s="181"/>
      <c r="X78" s="146" t="s">
        <v>347</v>
      </c>
      <c r="Y78" s="185" t="s">
        <v>612</v>
      </c>
      <c r="Z78" s="185" t="s">
        <v>613</v>
      </c>
      <c r="AA78" s="185" t="s">
        <v>614</v>
      </c>
      <c r="AB78" s="186" t="s">
        <v>615</v>
      </c>
      <c r="AC78" s="185" t="s">
        <v>363</v>
      </c>
      <c r="AD78" s="184"/>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row>
    <row r="79" spans="1:70" s="92" customFormat="1" ht="96" customHeight="1" x14ac:dyDescent="0.3">
      <c r="B79" s="68"/>
      <c r="C79" s="66"/>
      <c r="D79" s="121"/>
      <c r="E79" s="205" t="s">
        <v>357</v>
      </c>
      <c r="F79" s="156" t="s">
        <v>494</v>
      </c>
      <c r="G79" s="157" t="s">
        <v>616</v>
      </c>
      <c r="H79" s="157" t="s">
        <v>617</v>
      </c>
      <c r="I79" s="157" t="s">
        <v>618</v>
      </c>
      <c r="J79" s="153" t="s">
        <v>619</v>
      </c>
      <c r="K79" s="153" t="s">
        <v>620</v>
      </c>
      <c r="L79" s="153" t="s">
        <v>621</v>
      </c>
      <c r="M79" s="153" t="s">
        <v>622</v>
      </c>
      <c r="N79" s="153" t="s">
        <v>623</v>
      </c>
      <c r="O79" s="153" t="s">
        <v>624</v>
      </c>
      <c r="P79" s="104"/>
      <c r="Q79" s="35"/>
      <c r="R79" s="35"/>
      <c r="S79" s="35"/>
      <c r="T79" s="35"/>
      <c r="U79" s="35"/>
      <c r="V79" s="104"/>
      <c r="W79" s="181"/>
      <c r="X79" s="821" t="s">
        <v>400</v>
      </c>
      <c r="Y79" s="822"/>
      <c r="Z79" s="822"/>
      <c r="AA79" s="822"/>
      <c r="AB79" s="822"/>
      <c r="AC79" s="823"/>
      <c r="AD79" s="184"/>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row>
    <row r="80" spans="1:70" s="92" customFormat="1" ht="34.5" customHeight="1" x14ac:dyDescent="0.3">
      <c r="B80" s="119"/>
      <c r="C80" s="35"/>
      <c r="D80" s="120"/>
      <c r="E80" s="417"/>
      <c r="F80" s="159" t="s">
        <v>35</v>
      </c>
      <c r="G80" s="159" t="s">
        <v>388</v>
      </c>
      <c r="H80" s="159" t="s">
        <v>588</v>
      </c>
      <c r="I80" s="159" t="s">
        <v>589</v>
      </c>
      <c r="J80" s="158" t="s">
        <v>389</v>
      </c>
      <c r="K80" s="158" t="s">
        <v>390</v>
      </c>
      <c r="L80" s="158" t="s">
        <v>391</v>
      </c>
      <c r="M80" s="158" t="s">
        <v>392</v>
      </c>
      <c r="N80" s="158" t="s">
        <v>393</v>
      </c>
      <c r="O80" s="158" t="s">
        <v>394</v>
      </c>
      <c r="P80" s="104"/>
      <c r="Q80" s="35"/>
      <c r="R80" s="35"/>
      <c r="S80" s="35"/>
      <c r="T80" s="35"/>
      <c r="U80" s="35"/>
      <c r="V80" s="104"/>
      <c r="W80" s="181"/>
      <c r="X80" s="439" t="s">
        <v>205</v>
      </c>
      <c r="Y80" s="208">
        <v>65.2</v>
      </c>
      <c r="Z80" s="208">
        <v>0.05</v>
      </c>
      <c r="AA80" s="208">
        <v>2E-3</v>
      </c>
      <c r="AB80" s="440">
        <f>Y80+GWP_CH4*Z80+GWP_N2O*AA80</f>
        <v>67.141000000000005</v>
      </c>
      <c r="AC80" s="421"/>
      <c r="AD80" s="184"/>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row>
    <row r="81" spans="2:70" s="92" customFormat="1" ht="42.6" customHeight="1" x14ac:dyDescent="0.3">
      <c r="B81" s="119"/>
      <c r="C81" s="183"/>
      <c r="D81" s="189"/>
      <c r="E81" s="326"/>
      <c r="F81" s="136"/>
      <c r="G81" s="791" t="s">
        <v>36</v>
      </c>
      <c r="H81" s="792"/>
      <c r="I81" s="793"/>
      <c r="J81" s="134"/>
      <c r="K81" s="137"/>
      <c r="L81" s="137"/>
      <c r="M81" s="134"/>
      <c r="N81" s="137"/>
      <c r="O81" s="137"/>
      <c r="P81" s="104"/>
      <c r="Q81" s="35"/>
      <c r="R81" s="35"/>
      <c r="S81" s="35"/>
      <c r="T81" s="35"/>
      <c r="U81" s="35"/>
      <c r="V81" s="104"/>
      <c r="W81" s="181"/>
      <c r="X81" s="434" t="s">
        <v>206</v>
      </c>
      <c r="Y81" s="201">
        <v>65.2</v>
      </c>
      <c r="Z81" s="201">
        <v>0.12</v>
      </c>
      <c r="AA81" s="201">
        <v>4.0000000000000002E-4</v>
      </c>
      <c r="AB81" s="438">
        <f>Y81+GWP_CH4*Z81+GWP_N2O*AA81</f>
        <v>68.657200000000003</v>
      </c>
      <c r="AC81" s="421"/>
      <c r="AD81" s="184"/>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row>
    <row r="82" spans="2:70" s="92" customFormat="1" ht="27.75" customHeight="1" x14ac:dyDescent="0.3">
      <c r="B82" s="119"/>
      <c r="C82" s="327" t="s">
        <v>495</v>
      </c>
      <c r="D82" s="187" t="s">
        <v>352</v>
      </c>
      <c r="E82" s="148">
        <v>0.75</v>
      </c>
      <c r="F82" s="137">
        <v>100000</v>
      </c>
      <c r="G82" s="136">
        <v>50.2</v>
      </c>
      <c r="H82" s="138">
        <v>5.0000000000000001E-3</v>
      </c>
      <c r="I82" s="138">
        <v>1E-4</v>
      </c>
      <c r="J82" s="137">
        <f>$F82*$E82*G82/1000</f>
        <v>3765</v>
      </c>
      <c r="K82" s="139">
        <f>$F82*$E82*H82/1000</f>
        <v>0.375</v>
      </c>
      <c r="L82" s="139">
        <f>$F82*$E82*I82/1000</f>
        <v>7.4999999999999997E-3</v>
      </c>
      <c r="M82" s="137">
        <f>$F82*(1-$E82)*G82/1000</f>
        <v>1255</v>
      </c>
      <c r="N82" s="139">
        <f>$F82*(1-$E82)*H82/1000</f>
        <v>0.125</v>
      </c>
      <c r="O82" s="139">
        <f>$F82*(1-$E82)*I82/1000</f>
        <v>2.5000000000000001E-3</v>
      </c>
      <c r="P82" s="104"/>
      <c r="Q82" s="35"/>
      <c r="R82" s="35"/>
      <c r="S82" s="35"/>
      <c r="T82" s="35"/>
      <c r="U82" s="35"/>
      <c r="V82" s="104"/>
      <c r="W82" s="181"/>
      <c r="X82" s="434" t="s">
        <v>0</v>
      </c>
      <c r="Y82" s="201">
        <v>65.2</v>
      </c>
      <c r="Z82" s="201">
        <v>0.16</v>
      </c>
      <c r="AA82" s="201">
        <v>4.0000000000000002E-4</v>
      </c>
      <c r="AB82" s="438">
        <f>Y82+GWP_CH4*Z82+GWP_N2O*AA82</f>
        <v>69.773200000000003</v>
      </c>
      <c r="AC82" s="421"/>
      <c r="AD82" s="184"/>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row>
    <row r="83" spans="2:70" s="92" customFormat="1" ht="27.6" customHeight="1" x14ac:dyDescent="0.3">
      <c r="B83" s="124"/>
      <c r="C83" s="146" t="s">
        <v>349</v>
      </c>
      <c r="D83" s="147" t="s">
        <v>347</v>
      </c>
      <c r="E83" s="410"/>
      <c r="F83" s="136"/>
      <c r="G83" s="136"/>
      <c r="H83" s="148"/>
      <c r="I83" s="149"/>
      <c r="J83" s="133"/>
      <c r="K83" s="133"/>
      <c r="L83" s="136"/>
      <c r="M83" s="136"/>
      <c r="N83" s="136"/>
      <c r="O83" s="122"/>
      <c r="P83" s="104"/>
      <c r="Q83" s="35"/>
      <c r="R83" s="35"/>
      <c r="S83" s="35"/>
      <c r="T83" s="35"/>
      <c r="U83" s="35"/>
      <c r="V83" s="104"/>
      <c r="W83" s="181"/>
      <c r="X83" s="434" t="s">
        <v>350</v>
      </c>
      <c r="Y83" s="201">
        <v>67.599999999999994</v>
      </c>
      <c r="Z83" s="201"/>
      <c r="AA83" s="201"/>
      <c r="AB83" s="438">
        <f>Y83+GWP_CH4*Z83+GWP_N2O*AA83</f>
        <v>67.599999999999994</v>
      </c>
      <c r="AC83" s="159" t="s">
        <v>630</v>
      </c>
      <c r="AD83" s="184"/>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row>
    <row r="84" spans="2:70" s="92" customFormat="1" ht="25.8" customHeight="1" x14ac:dyDescent="0.3">
      <c r="B84" s="119"/>
      <c r="C84" s="411"/>
      <c r="D84" s="412"/>
      <c r="E84" s="413"/>
      <c r="F84" s="412"/>
      <c r="G84" s="412"/>
      <c r="H84" s="414"/>
      <c r="I84" s="415"/>
      <c r="J84" s="173">
        <f>$F84*$E84*G84/1000</f>
        <v>0</v>
      </c>
      <c r="K84" s="174">
        <f>$F84*$E84*H84/1000</f>
        <v>0</v>
      </c>
      <c r="L84" s="174">
        <f>$F84*$E84*I84/1000</f>
        <v>0</v>
      </c>
      <c r="M84" s="173">
        <f>$F84*(1-$E84)*G84/1000</f>
        <v>0</v>
      </c>
      <c r="N84" s="174">
        <f>$F84*(1-$E84)*H84/1000</f>
        <v>0</v>
      </c>
      <c r="O84" s="174">
        <f>$F84*(1-$E84)*I84/1000</f>
        <v>0</v>
      </c>
      <c r="P84" s="104"/>
      <c r="Q84" s="35"/>
      <c r="R84" s="35"/>
      <c r="S84" s="35"/>
      <c r="T84" s="35"/>
      <c r="U84" s="35"/>
      <c r="V84" s="104"/>
      <c r="W84" s="181"/>
      <c r="X84" s="434" t="s">
        <v>85</v>
      </c>
      <c r="Y84" s="202" t="s">
        <v>207</v>
      </c>
      <c r="Z84" s="201"/>
      <c r="AA84" s="201"/>
      <c r="AB84" s="187" t="s">
        <v>207</v>
      </c>
      <c r="AC84" s="159" t="s">
        <v>631</v>
      </c>
      <c r="AD84" s="184"/>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row>
    <row r="85" spans="2:70" s="92" customFormat="1" ht="28.2" customHeight="1" x14ac:dyDescent="0.3">
      <c r="B85" s="119"/>
      <c r="C85" s="411"/>
      <c r="D85" s="412"/>
      <c r="E85" s="413"/>
      <c r="F85" s="412"/>
      <c r="G85" s="412"/>
      <c r="H85" s="414"/>
      <c r="I85" s="415"/>
      <c r="J85" s="173">
        <f t="shared" ref="J85:J97" si="9">$F85*$E85*G85/1000</f>
        <v>0</v>
      </c>
      <c r="K85" s="174">
        <f t="shared" ref="K85:K97" si="10">$F85*$E85*H85/1000</f>
        <v>0</v>
      </c>
      <c r="L85" s="174">
        <f t="shared" ref="L85:L97" si="11">$F85*$E85*I85/1000</f>
        <v>0</v>
      </c>
      <c r="M85" s="173">
        <f t="shared" ref="M85:M97" si="12">$F85*(1-$E85)*G85/1000</f>
        <v>0</v>
      </c>
      <c r="N85" s="174">
        <f t="shared" ref="N85:N97" si="13">$F85*(1-$E85)*H85/1000</f>
        <v>0</v>
      </c>
      <c r="O85" s="174">
        <f t="shared" ref="O85:O97" si="14">$F85*(1-$E85)*I85/1000</f>
        <v>0</v>
      </c>
      <c r="P85" s="104"/>
      <c r="Q85" s="35"/>
      <c r="R85" s="35"/>
      <c r="S85" s="35"/>
      <c r="T85" s="35"/>
      <c r="U85" s="35"/>
      <c r="V85" s="104"/>
      <c r="W85" s="181"/>
      <c r="X85" s="434" t="s">
        <v>87</v>
      </c>
      <c r="Y85" s="202" t="s">
        <v>208</v>
      </c>
      <c r="Z85" s="201"/>
      <c r="AA85" s="201"/>
      <c r="AB85" s="187" t="s">
        <v>208</v>
      </c>
      <c r="AC85" s="159" t="s">
        <v>631</v>
      </c>
      <c r="AD85" s="184"/>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row>
    <row r="86" spans="2:70" s="92" customFormat="1" ht="41.25" customHeight="1" x14ac:dyDescent="0.3">
      <c r="B86" s="119"/>
      <c r="C86" s="411"/>
      <c r="D86" s="412"/>
      <c r="E86" s="413"/>
      <c r="F86" s="412"/>
      <c r="G86" s="412"/>
      <c r="H86" s="414"/>
      <c r="I86" s="415"/>
      <c r="J86" s="173">
        <f t="shared" si="9"/>
        <v>0</v>
      </c>
      <c r="K86" s="174">
        <f t="shared" si="10"/>
        <v>0</v>
      </c>
      <c r="L86" s="174">
        <f t="shared" si="11"/>
        <v>0</v>
      </c>
      <c r="M86" s="173">
        <f t="shared" si="12"/>
        <v>0</v>
      </c>
      <c r="N86" s="174">
        <f t="shared" si="13"/>
        <v>0</v>
      </c>
      <c r="O86" s="174">
        <f t="shared" si="14"/>
        <v>0</v>
      </c>
      <c r="P86" s="104"/>
      <c r="Q86" s="35"/>
      <c r="R86" s="35"/>
      <c r="S86" s="35"/>
      <c r="T86" s="35"/>
      <c r="U86" s="35"/>
      <c r="V86" s="104"/>
      <c r="W86" s="181"/>
      <c r="X86" s="434" t="s">
        <v>62</v>
      </c>
      <c r="Y86" s="201">
        <v>69.7</v>
      </c>
      <c r="Z86" s="201">
        <v>4.0000000000000001E-3</v>
      </c>
      <c r="AA86" s="201">
        <v>0.03</v>
      </c>
      <c r="AB86" s="438">
        <f>Y86+GWP_CH4*Z86+GWP_N2O*AA86</f>
        <v>78.001599999999996</v>
      </c>
      <c r="AC86" s="421"/>
      <c r="AD86" s="184"/>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row>
    <row r="87" spans="2:70" s="92" customFormat="1" ht="33" customHeight="1" x14ac:dyDescent="0.3">
      <c r="B87" s="119"/>
      <c r="C87" s="411"/>
      <c r="D87" s="412"/>
      <c r="E87" s="413"/>
      <c r="F87" s="412"/>
      <c r="G87" s="412"/>
      <c r="H87" s="414"/>
      <c r="I87" s="415"/>
      <c r="J87" s="173">
        <f t="shared" si="9"/>
        <v>0</v>
      </c>
      <c r="K87" s="174">
        <f t="shared" si="10"/>
        <v>0</v>
      </c>
      <c r="L87" s="174">
        <f t="shared" si="11"/>
        <v>0</v>
      </c>
      <c r="M87" s="173">
        <f t="shared" si="12"/>
        <v>0</v>
      </c>
      <c r="N87" s="174">
        <f t="shared" si="13"/>
        <v>0</v>
      </c>
      <c r="O87" s="174">
        <f t="shared" si="14"/>
        <v>0</v>
      </c>
      <c r="P87" s="104"/>
      <c r="Q87" s="35"/>
      <c r="R87" s="35"/>
      <c r="S87" s="35"/>
      <c r="T87" s="35"/>
      <c r="U87" s="35"/>
      <c r="V87" s="104"/>
      <c r="W87" s="181"/>
      <c r="X87" s="434" t="s">
        <v>337</v>
      </c>
      <c r="Y87" s="201">
        <v>59.3</v>
      </c>
      <c r="Z87" s="201"/>
      <c r="AA87" s="201"/>
      <c r="AB87" s="438">
        <f>Y87+GWP_CH4*Z87+GWP_N2O*AA87</f>
        <v>59.3</v>
      </c>
      <c r="AC87" s="159" t="s">
        <v>630</v>
      </c>
      <c r="AD87" s="184"/>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row>
    <row r="88" spans="2:70" s="92" customFormat="1" ht="31.8" customHeight="1" x14ac:dyDescent="0.3">
      <c r="B88" s="119"/>
      <c r="C88" s="411"/>
      <c r="D88" s="412"/>
      <c r="E88" s="413"/>
      <c r="F88" s="412"/>
      <c r="G88" s="412"/>
      <c r="H88" s="414"/>
      <c r="I88" s="415"/>
      <c r="J88" s="173">
        <f t="shared" si="9"/>
        <v>0</v>
      </c>
      <c r="K88" s="174">
        <f t="shared" si="10"/>
        <v>0</v>
      </c>
      <c r="L88" s="174">
        <f t="shared" si="11"/>
        <v>0</v>
      </c>
      <c r="M88" s="173">
        <f t="shared" si="12"/>
        <v>0</v>
      </c>
      <c r="N88" s="174">
        <f t="shared" si="13"/>
        <v>0</v>
      </c>
      <c r="O88" s="174">
        <f t="shared" si="14"/>
        <v>0</v>
      </c>
      <c r="P88" s="104"/>
      <c r="Q88" s="35"/>
      <c r="R88" s="35"/>
      <c r="S88" s="35"/>
      <c r="T88" s="35"/>
      <c r="U88" s="35"/>
      <c r="V88" s="104"/>
      <c r="W88" s="181"/>
      <c r="X88" s="434" t="s">
        <v>84</v>
      </c>
      <c r="Y88" s="202" t="s">
        <v>20</v>
      </c>
      <c r="Z88" s="201"/>
      <c r="AA88" s="201"/>
      <c r="AB88" s="187" t="s">
        <v>20</v>
      </c>
      <c r="AC88" s="159" t="s">
        <v>631</v>
      </c>
      <c r="AD88" s="184"/>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row>
    <row r="89" spans="2:70" s="92" customFormat="1" ht="18" customHeight="1" x14ac:dyDescent="0.3">
      <c r="B89" s="119"/>
      <c r="C89" s="411"/>
      <c r="D89" s="412"/>
      <c r="E89" s="413"/>
      <c r="F89" s="412"/>
      <c r="G89" s="412"/>
      <c r="H89" s="414"/>
      <c r="I89" s="415"/>
      <c r="J89" s="173">
        <f t="shared" si="9"/>
        <v>0</v>
      </c>
      <c r="K89" s="174">
        <f t="shared" si="10"/>
        <v>0</v>
      </c>
      <c r="L89" s="174">
        <f t="shared" si="11"/>
        <v>0</v>
      </c>
      <c r="M89" s="173">
        <f t="shared" si="12"/>
        <v>0</v>
      </c>
      <c r="N89" s="174">
        <f t="shared" si="13"/>
        <v>0</v>
      </c>
      <c r="O89" s="174">
        <f t="shared" si="14"/>
        <v>0</v>
      </c>
      <c r="P89" s="104"/>
      <c r="Q89" s="35"/>
      <c r="R89" s="35"/>
      <c r="S89" s="35"/>
      <c r="T89" s="35"/>
      <c r="U89" s="35"/>
      <c r="V89" s="104"/>
      <c r="W89" s="181"/>
      <c r="X89" s="819" t="s">
        <v>399</v>
      </c>
      <c r="Y89" s="820"/>
      <c r="Z89" s="820"/>
      <c r="AA89" s="820"/>
      <c r="AB89" s="820"/>
      <c r="AC89" s="820"/>
      <c r="AD89" s="184"/>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row>
    <row r="90" spans="2:70" s="92" customFormat="1" ht="25.8" customHeight="1" x14ac:dyDescent="0.3">
      <c r="B90" s="119"/>
      <c r="C90" s="411"/>
      <c r="D90" s="412"/>
      <c r="E90" s="413"/>
      <c r="F90" s="412"/>
      <c r="G90" s="412"/>
      <c r="H90" s="414"/>
      <c r="I90" s="415"/>
      <c r="J90" s="173">
        <f t="shared" si="9"/>
        <v>0</v>
      </c>
      <c r="K90" s="174">
        <f t="shared" si="10"/>
        <v>0</v>
      </c>
      <c r="L90" s="174">
        <f t="shared" si="11"/>
        <v>0</v>
      </c>
      <c r="M90" s="173">
        <f t="shared" si="12"/>
        <v>0</v>
      </c>
      <c r="N90" s="174">
        <f t="shared" si="13"/>
        <v>0</v>
      </c>
      <c r="O90" s="174">
        <f t="shared" si="14"/>
        <v>0</v>
      </c>
      <c r="P90" s="104"/>
      <c r="Q90" s="35"/>
      <c r="R90" s="35"/>
      <c r="S90" s="35"/>
      <c r="T90" s="35"/>
      <c r="U90" s="35"/>
      <c r="V90" s="104"/>
      <c r="W90" s="181"/>
      <c r="X90" s="434" t="s">
        <v>278</v>
      </c>
      <c r="Y90" s="201">
        <v>50.2</v>
      </c>
      <c r="Z90" s="201">
        <v>5.0000000000000001E-3</v>
      </c>
      <c r="AA90" s="201">
        <v>1E-4</v>
      </c>
      <c r="AB90" s="438">
        <f>Y90+GWP_CH4*Z90+GWP_N2O*AA90</f>
        <v>50.366799999999998</v>
      </c>
      <c r="AC90" s="159" t="s">
        <v>632</v>
      </c>
      <c r="AD90" s="184"/>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row>
    <row r="91" spans="2:70" s="92" customFormat="1" ht="18" customHeight="1" x14ac:dyDescent="0.3">
      <c r="B91" s="119"/>
      <c r="C91" s="411"/>
      <c r="D91" s="412"/>
      <c r="E91" s="413"/>
      <c r="F91" s="412"/>
      <c r="G91" s="412"/>
      <c r="H91" s="414"/>
      <c r="I91" s="415"/>
      <c r="J91" s="173">
        <f t="shared" si="9"/>
        <v>0</v>
      </c>
      <c r="K91" s="174">
        <f t="shared" si="10"/>
        <v>0</v>
      </c>
      <c r="L91" s="174">
        <f t="shared" si="11"/>
        <v>0</v>
      </c>
      <c r="M91" s="173">
        <f t="shared" si="12"/>
        <v>0</v>
      </c>
      <c r="N91" s="174">
        <f t="shared" si="13"/>
        <v>0</v>
      </c>
      <c r="O91" s="174">
        <f t="shared" si="14"/>
        <v>0</v>
      </c>
      <c r="P91" s="104"/>
      <c r="Q91" s="35"/>
      <c r="R91" s="35"/>
      <c r="S91" s="35"/>
      <c r="T91" s="35"/>
      <c r="U91" s="35"/>
      <c r="V91" s="104"/>
      <c r="W91" s="181"/>
      <c r="X91" s="188" t="s">
        <v>209</v>
      </c>
      <c r="Y91" s="183"/>
      <c r="Z91" s="189"/>
      <c r="AA91" s="190"/>
      <c r="AB91" s="190"/>
      <c r="AC91" s="190"/>
      <c r="AD91" s="191"/>
      <c r="AE91" s="190"/>
      <c r="AF91" s="190"/>
      <c r="AG91" s="190"/>
      <c r="AH91" s="190"/>
      <c r="AI91" s="190"/>
      <c r="AJ91" s="190"/>
      <c r="AK91" s="190"/>
      <c r="AL91" s="190"/>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row>
    <row r="92" spans="2:70" s="92" customFormat="1" ht="18" customHeight="1" x14ac:dyDescent="0.3">
      <c r="B92" s="119"/>
      <c r="C92" s="411"/>
      <c r="D92" s="412"/>
      <c r="E92" s="413"/>
      <c r="F92" s="412"/>
      <c r="G92" s="412"/>
      <c r="H92" s="414"/>
      <c r="I92" s="415"/>
      <c r="J92" s="173">
        <f t="shared" si="9"/>
        <v>0</v>
      </c>
      <c r="K92" s="174">
        <f t="shared" si="10"/>
        <v>0</v>
      </c>
      <c r="L92" s="174">
        <f t="shared" si="11"/>
        <v>0</v>
      </c>
      <c r="M92" s="173">
        <f t="shared" si="12"/>
        <v>0</v>
      </c>
      <c r="N92" s="174">
        <f t="shared" si="13"/>
        <v>0</v>
      </c>
      <c r="O92" s="174">
        <f t="shared" si="14"/>
        <v>0</v>
      </c>
      <c r="P92" s="104"/>
      <c r="Q92" s="35"/>
      <c r="R92" s="35"/>
      <c r="S92" s="35"/>
      <c r="T92" s="35"/>
      <c r="U92" s="35"/>
      <c r="V92" s="104"/>
      <c r="W92" s="181"/>
      <c r="X92" s="188" t="s">
        <v>66</v>
      </c>
      <c r="Y92" s="183"/>
      <c r="Z92" s="189"/>
      <c r="AA92" s="190"/>
      <c r="AB92" s="190"/>
      <c r="AC92" s="190"/>
      <c r="AD92" s="104"/>
      <c r="AE92" s="328"/>
      <c r="AF92" s="303"/>
      <c r="AG92" s="303"/>
      <c r="AH92" s="303"/>
      <c r="AI92" s="190"/>
      <c r="AJ92" s="190"/>
      <c r="AK92" s="190"/>
      <c r="AL92" s="190"/>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row>
    <row r="93" spans="2:70" s="92" customFormat="1" ht="18" customHeight="1" x14ac:dyDescent="0.3">
      <c r="B93" s="119"/>
      <c r="C93" s="411"/>
      <c r="D93" s="412"/>
      <c r="E93" s="413"/>
      <c r="F93" s="412"/>
      <c r="G93" s="412"/>
      <c r="H93" s="414"/>
      <c r="I93" s="415"/>
      <c r="J93" s="173">
        <f t="shared" si="9"/>
        <v>0</v>
      </c>
      <c r="K93" s="174">
        <f t="shared" si="10"/>
        <v>0</v>
      </c>
      <c r="L93" s="174">
        <f t="shared" si="11"/>
        <v>0</v>
      </c>
      <c r="M93" s="173">
        <f t="shared" si="12"/>
        <v>0</v>
      </c>
      <c r="N93" s="174">
        <f t="shared" si="13"/>
        <v>0</v>
      </c>
      <c r="O93" s="174">
        <f t="shared" si="14"/>
        <v>0</v>
      </c>
      <c r="P93" s="104"/>
      <c r="Q93" s="35"/>
      <c r="R93" s="35"/>
      <c r="S93" s="35"/>
      <c r="T93" s="35"/>
      <c r="U93" s="35"/>
      <c r="V93" s="104"/>
      <c r="W93" s="181"/>
      <c r="X93" s="35"/>
      <c r="Y93" s="35"/>
      <c r="Z93" s="798"/>
      <c r="AA93" s="798"/>
      <c r="AB93" s="798"/>
      <c r="AC93" s="35"/>
      <c r="AD93" s="104"/>
      <c r="AE93" s="328"/>
      <c r="AF93" s="192"/>
      <c r="AG93" s="190"/>
      <c r="AH93" s="190"/>
      <c r="AI93" s="190"/>
      <c r="AJ93" s="190"/>
      <c r="AK93" s="190"/>
      <c r="AL93" s="190"/>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row>
    <row r="94" spans="2:70" s="92" customFormat="1" ht="18" customHeight="1" x14ac:dyDescent="0.3">
      <c r="B94" s="119"/>
      <c r="C94" s="411"/>
      <c r="D94" s="412"/>
      <c r="E94" s="413"/>
      <c r="F94" s="412"/>
      <c r="G94" s="412"/>
      <c r="H94" s="414"/>
      <c r="I94" s="415"/>
      <c r="J94" s="173">
        <f t="shared" si="9"/>
        <v>0</v>
      </c>
      <c r="K94" s="174">
        <f t="shared" si="10"/>
        <v>0</v>
      </c>
      <c r="L94" s="174">
        <f t="shared" si="11"/>
        <v>0</v>
      </c>
      <c r="M94" s="173">
        <f t="shared" si="12"/>
        <v>0</v>
      </c>
      <c r="N94" s="174">
        <f t="shared" si="13"/>
        <v>0</v>
      </c>
      <c r="O94" s="174">
        <f t="shared" si="14"/>
        <v>0</v>
      </c>
      <c r="P94" s="104"/>
      <c r="Q94" s="35"/>
      <c r="R94" s="35"/>
      <c r="S94" s="35"/>
      <c r="T94" s="35"/>
      <c r="U94" s="35"/>
      <c r="V94" s="104"/>
      <c r="W94" s="181"/>
      <c r="X94" s="329" t="s">
        <v>210</v>
      </c>
      <c r="Y94" s="761" t="s">
        <v>184</v>
      </c>
      <c r="Z94" s="815"/>
      <c r="AA94" s="815"/>
      <c r="AB94" s="815"/>
      <c r="AC94" s="815"/>
      <c r="AD94" s="104"/>
      <c r="AE94" s="192"/>
      <c r="AF94" s="192"/>
      <c r="AG94" s="190"/>
      <c r="AH94" s="190"/>
      <c r="AI94" s="190"/>
      <c r="AJ94" s="190"/>
      <c r="AK94" s="190"/>
      <c r="AL94" s="190"/>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row>
    <row r="95" spans="2:70" s="92" customFormat="1" ht="18" customHeight="1" x14ac:dyDescent="0.3">
      <c r="B95" s="119"/>
      <c r="C95" s="411"/>
      <c r="D95" s="412"/>
      <c r="E95" s="413"/>
      <c r="F95" s="412"/>
      <c r="G95" s="412"/>
      <c r="H95" s="414"/>
      <c r="I95" s="415"/>
      <c r="J95" s="173">
        <f t="shared" si="9"/>
        <v>0</v>
      </c>
      <c r="K95" s="174">
        <f t="shared" si="10"/>
        <v>0</v>
      </c>
      <c r="L95" s="174">
        <f t="shared" si="11"/>
        <v>0</v>
      </c>
      <c r="M95" s="173">
        <f t="shared" si="12"/>
        <v>0</v>
      </c>
      <c r="N95" s="174">
        <f t="shared" si="13"/>
        <v>0</v>
      </c>
      <c r="O95" s="174">
        <f t="shared" si="14"/>
        <v>0</v>
      </c>
      <c r="P95" s="104"/>
      <c r="Q95" s="35"/>
      <c r="R95" s="35"/>
      <c r="S95" s="35"/>
      <c r="T95" s="35"/>
      <c r="U95" s="35"/>
      <c r="V95" s="104"/>
      <c r="W95" s="181"/>
      <c r="X95" s="35"/>
      <c r="Y95" s="815"/>
      <c r="Z95" s="815"/>
      <c r="AA95" s="815"/>
      <c r="AB95" s="815"/>
      <c r="AC95" s="815"/>
      <c r="AD95" s="104"/>
      <c r="AE95" s="192"/>
      <c r="AF95" s="303"/>
      <c r="AG95" s="303"/>
      <c r="AH95" s="190"/>
      <c r="AI95" s="190"/>
      <c r="AJ95" s="190"/>
      <c r="AK95" s="190"/>
      <c r="AL95" s="190"/>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row>
    <row r="96" spans="2:70" s="92" customFormat="1" ht="18" customHeight="1" x14ac:dyDescent="0.3">
      <c r="B96" s="119"/>
      <c r="C96" s="411"/>
      <c r="D96" s="412"/>
      <c r="E96" s="413"/>
      <c r="F96" s="412"/>
      <c r="G96" s="412"/>
      <c r="H96" s="414"/>
      <c r="I96" s="415"/>
      <c r="J96" s="173">
        <f t="shared" si="9"/>
        <v>0</v>
      </c>
      <c r="K96" s="174">
        <f t="shared" si="10"/>
        <v>0</v>
      </c>
      <c r="L96" s="174">
        <f t="shared" si="11"/>
        <v>0</v>
      </c>
      <c r="M96" s="173">
        <f t="shared" si="12"/>
        <v>0</v>
      </c>
      <c r="N96" s="174">
        <f t="shared" si="13"/>
        <v>0</v>
      </c>
      <c r="O96" s="174">
        <f t="shared" si="14"/>
        <v>0</v>
      </c>
      <c r="P96" s="104"/>
      <c r="Q96" s="35"/>
      <c r="R96" s="35"/>
      <c r="S96" s="35"/>
      <c r="T96" s="35"/>
      <c r="U96" s="35"/>
      <c r="V96" s="104"/>
      <c r="W96" s="181"/>
      <c r="X96" s="183"/>
      <c r="Y96" s="815"/>
      <c r="Z96" s="815"/>
      <c r="AA96" s="815"/>
      <c r="AB96" s="815"/>
      <c r="AC96" s="815"/>
      <c r="AD96" s="104"/>
      <c r="AE96" s="328"/>
      <c r="AF96" s="303"/>
      <c r="AG96" s="303"/>
      <c r="AH96" s="303"/>
      <c r="AI96" s="190"/>
      <c r="AJ96" s="190"/>
      <c r="AK96" s="190"/>
      <c r="AL96" s="190"/>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row>
    <row r="97" spans="2:70" s="92" customFormat="1" ht="18" customHeight="1" x14ac:dyDescent="0.3">
      <c r="B97" s="119"/>
      <c r="C97" s="411"/>
      <c r="D97" s="412"/>
      <c r="E97" s="413"/>
      <c r="F97" s="412"/>
      <c r="G97" s="412"/>
      <c r="H97" s="414"/>
      <c r="I97" s="415"/>
      <c r="J97" s="173">
        <f t="shared" si="9"/>
        <v>0</v>
      </c>
      <c r="K97" s="174">
        <f t="shared" si="10"/>
        <v>0</v>
      </c>
      <c r="L97" s="174">
        <f t="shared" si="11"/>
        <v>0</v>
      </c>
      <c r="M97" s="173">
        <f t="shared" si="12"/>
        <v>0</v>
      </c>
      <c r="N97" s="174">
        <f t="shared" si="13"/>
        <v>0</v>
      </c>
      <c r="O97" s="174">
        <f t="shared" si="14"/>
        <v>0</v>
      </c>
      <c r="P97" s="104"/>
      <c r="Q97" s="35"/>
      <c r="R97" s="35"/>
      <c r="S97" s="35"/>
      <c r="T97" s="35"/>
      <c r="U97" s="35"/>
      <c r="V97" s="104"/>
      <c r="W97" s="181"/>
      <c r="X97" s="183"/>
      <c r="Y97" s="815"/>
      <c r="Z97" s="815"/>
      <c r="AA97" s="815"/>
      <c r="AB97" s="815"/>
      <c r="AC97" s="815"/>
      <c r="AD97" s="330"/>
      <c r="AE97" s="303"/>
      <c r="AF97" s="303"/>
      <c r="AG97" s="303"/>
      <c r="AH97" s="303"/>
      <c r="AI97" s="190"/>
      <c r="AJ97" s="190"/>
      <c r="AK97" s="190"/>
      <c r="AL97" s="190"/>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row>
    <row r="98" spans="2:70" s="92" customFormat="1" ht="18" customHeight="1" x14ac:dyDescent="0.3">
      <c r="B98" s="164"/>
      <c r="C98" s="35"/>
      <c r="D98" s="103"/>
      <c r="E98" s="103"/>
      <c r="F98" s="103"/>
      <c r="G98" s="103"/>
      <c r="H98" s="35"/>
      <c r="I98" s="35"/>
      <c r="J98" s="807" t="s">
        <v>395</v>
      </c>
      <c r="K98" s="808"/>
      <c r="L98" s="807"/>
      <c r="M98" s="807" t="s">
        <v>396</v>
      </c>
      <c r="N98" s="808"/>
      <c r="O98" s="807"/>
      <c r="P98" s="104"/>
      <c r="Q98" s="35"/>
      <c r="R98" s="35"/>
      <c r="S98" s="35"/>
      <c r="T98" s="35"/>
      <c r="U98" s="35"/>
      <c r="V98" s="104"/>
      <c r="W98" s="181"/>
      <c r="X98" s="183"/>
      <c r="Y98" s="798" t="s">
        <v>17</v>
      </c>
      <c r="Z98" s="762"/>
      <c r="AA98" s="762"/>
      <c r="AB98" s="762"/>
      <c r="AC98" s="765"/>
      <c r="AD98" s="331"/>
      <c r="AE98" s="192"/>
      <c r="AF98" s="192"/>
      <c r="AG98" s="190"/>
      <c r="AH98" s="190"/>
      <c r="AI98" s="190"/>
      <c r="AJ98" s="190"/>
      <c r="AK98" s="190"/>
      <c r="AL98" s="190"/>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row>
    <row r="99" spans="2:70" s="92" customFormat="1" ht="18" customHeight="1" x14ac:dyDescent="0.35">
      <c r="B99" s="164"/>
      <c r="J99" s="321" t="s">
        <v>625</v>
      </c>
      <c r="K99" s="321" t="s">
        <v>626</v>
      </c>
      <c r="L99" s="321" t="s">
        <v>627</v>
      </c>
      <c r="M99" s="321" t="s">
        <v>625</v>
      </c>
      <c r="N99" s="321" t="s">
        <v>626</v>
      </c>
      <c r="O99" s="321" t="s">
        <v>627</v>
      </c>
      <c r="P99" s="104"/>
      <c r="Q99" s="35"/>
      <c r="R99" s="35"/>
      <c r="S99" s="35"/>
      <c r="T99" s="35"/>
      <c r="U99" s="35"/>
      <c r="V99" s="104"/>
      <c r="W99" s="181"/>
      <c r="X99" s="183"/>
      <c r="Y99" s="765"/>
      <c r="Z99" s="765"/>
      <c r="AA99" s="765"/>
      <c r="AB99" s="765"/>
      <c r="AC99" s="765"/>
      <c r="AD99" s="332"/>
      <c r="AE99" s="192"/>
      <c r="AF99" s="192"/>
      <c r="AG99" s="190"/>
      <c r="AH99" s="190"/>
      <c r="AI99" s="190"/>
      <c r="AJ99" s="190"/>
      <c r="AK99" s="190"/>
      <c r="AL99" s="190"/>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row>
    <row r="100" spans="2:70" s="92" customFormat="1" ht="23.25" customHeight="1" x14ac:dyDescent="0.3">
      <c r="B100" s="119"/>
      <c r="D100" s="333"/>
      <c r="E100" s="333"/>
      <c r="F100" s="333"/>
      <c r="G100" s="812" t="s">
        <v>397</v>
      </c>
      <c r="H100" s="797"/>
      <c r="I100" s="797"/>
      <c r="J100" s="419">
        <f t="shared" ref="J100:O100" si="15">SUM(J84:J97)</f>
        <v>0</v>
      </c>
      <c r="K100" s="175">
        <f t="shared" si="15"/>
        <v>0</v>
      </c>
      <c r="L100" s="175">
        <f t="shared" si="15"/>
        <v>0</v>
      </c>
      <c r="M100" s="419">
        <f t="shared" si="15"/>
        <v>0</v>
      </c>
      <c r="N100" s="175">
        <f t="shared" si="15"/>
        <v>0</v>
      </c>
      <c r="O100" s="175">
        <f t="shared" si="15"/>
        <v>0</v>
      </c>
      <c r="P100" s="104"/>
      <c r="Q100" s="35"/>
      <c r="R100" s="35"/>
      <c r="S100" s="35"/>
      <c r="T100" s="35"/>
      <c r="U100" s="35"/>
      <c r="V100" s="104"/>
      <c r="W100" s="181"/>
      <c r="X100" s="183"/>
      <c r="Y100" s="765"/>
      <c r="Z100" s="765"/>
      <c r="AA100" s="765"/>
      <c r="AB100" s="765"/>
      <c r="AC100" s="765"/>
      <c r="AD100" s="191"/>
      <c r="AE100" s="190"/>
      <c r="AF100" s="190"/>
      <c r="AG100" s="190"/>
      <c r="AH100" s="190"/>
      <c r="AI100" s="190"/>
      <c r="AJ100" s="190"/>
      <c r="AK100" s="190"/>
      <c r="AL100" s="190"/>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row>
    <row r="101" spans="2:70" s="92" customFormat="1" ht="18" customHeight="1" thickBot="1" x14ac:dyDescent="0.35">
      <c r="B101" s="119"/>
      <c r="C101" s="35"/>
      <c r="D101" s="103"/>
      <c r="E101" s="103"/>
      <c r="F101" s="103"/>
      <c r="G101" s="103"/>
      <c r="H101" s="35"/>
      <c r="I101" s="35"/>
      <c r="J101" s="35"/>
      <c r="K101" s="35"/>
      <c r="L101" s="35"/>
      <c r="M101" s="35"/>
      <c r="N101" s="317"/>
      <c r="O101" s="35"/>
      <c r="P101" s="104"/>
      <c r="Q101" s="97"/>
      <c r="R101" s="97"/>
      <c r="S101" s="97"/>
      <c r="T101" s="97"/>
      <c r="U101" s="97"/>
      <c r="V101" s="111"/>
      <c r="W101" s="194"/>
      <c r="X101" s="309"/>
      <c r="Y101" s="309"/>
      <c r="Z101" s="309"/>
      <c r="AA101" s="309"/>
      <c r="AB101" s="309"/>
      <c r="AC101" s="309"/>
      <c r="AD101" s="197"/>
      <c r="AE101" s="183"/>
      <c r="AF101" s="183"/>
      <c r="AG101" s="183"/>
      <c r="AH101" s="183"/>
      <c r="AI101" s="183"/>
      <c r="AJ101" s="183"/>
      <c r="AK101" s="183"/>
      <c r="AL101" s="183"/>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row>
    <row r="102" spans="2:70" s="92" customFormat="1" ht="18" customHeight="1" thickTop="1" thickBot="1" x14ac:dyDescent="0.35">
      <c r="B102" s="169"/>
      <c r="C102" s="97"/>
      <c r="D102" s="110"/>
      <c r="E102" s="110"/>
      <c r="F102" s="110"/>
      <c r="G102" s="110"/>
      <c r="H102" s="97"/>
      <c r="I102" s="97"/>
      <c r="J102" s="97"/>
      <c r="K102" s="97"/>
      <c r="L102" s="97"/>
      <c r="M102" s="334"/>
      <c r="N102" s="334"/>
      <c r="O102" s="97"/>
      <c r="P102" s="111"/>
      <c r="Q102" s="93"/>
      <c r="R102" s="93"/>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row>
    <row r="103" spans="2:70" s="218" customFormat="1" ht="15" customHeight="1" thickTop="1" x14ac:dyDescent="0.3">
      <c r="B103" s="92"/>
      <c r="C103" s="92"/>
      <c r="D103" s="92"/>
      <c r="E103" s="92"/>
      <c r="F103" s="92"/>
      <c r="G103" s="92"/>
      <c r="H103" s="92"/>
      <c r="I103" s="92"/>
      <c r="J103" s="92"/>
      <c r="K103" s="92"/>
      <c r="L103" s="92"/>
      <c r="M103" s="92"/>
      <c r="N103" s="92"/>
      <c r="O103" s="92"/>
      <c r="P103" s="93"/>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row>
    <row r="104" spans="2:70" s="218" customFormat="1" ht="14.4" thickBot="1" x14ac:dyDescent="0.35">
      <c r="C104" s="92"/>
      <c r="D104" s="383"/>
      <c r="E104" s="92"/>
      <c r="F104" s="92"/>
      <c r="G104" s="92"/>
      <c r="H104" s="92"/>
      <c r="I104" s="383"/>
      <c r="J104" s="92"/>
      <c r="K104" s="35"/>
      <c r="L104" s="384"/>
      <c r="M104" s="92"/>
      <c r="N104" s="92"/>
      <c r="O104" s="92"/>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7"/>
      <c r="BF104" s="267"/>
      <c r="BG104" s="267"/>
      <c r="BH104" s="267"/>
      <c r="BI104" s="267"/>
      <c r="BJ104" s="267"/>
      <c r="BK104" s="267"/>
      <c r="BL104" s="267"/>
      <c r="BM104" s="267"/>
      <c r="BN104" s="267"/>
      <c r="BO104" s="267"/>
      <c r="BP104" s="267"/>
      <c r="BQ104" s="267"/>
      <c r="BR104" s="267"/>
    </row>
    <row r="105" spans="2:70" s="218" customFormat="1" ht="14.4" thickTop="1" x14ac:dyDescent="0.3">
      <c r="B105" s="335"/>
      <c r="C105" s="118"/>
      <c r="D105" s="385"/>
      <c r="E105" s="118"/>
      <c r="F105" s="118"/>
      <c r="G105" s="118"/>
      <c r="H105" s="118"/>
      <c r="I105" s="801" t="s">
        <v>395</v>
      </c>
      <c r="J105" s="802"/>
      <c r="K105" s="801"/>
      <c r="L105" s="801" t="s">
        <v>396</v>
      </c>
      <c r="M105" s="802"/>
      <c r="N105" s="803"/>
      <c r="O105" s="92"/>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row>
    <row r="106" spans="2:70" s="218" customFormat="1" ht="15" x14ac:dyDescent="0.35">
      <c r="B106" s="266"/>
      <c r="C106" s="92"/>
      <c r="D106" s="383"/>
      <c r="E106" s="92"/>
      <c r="F106" s="92"/>
      <c r="G106" s="92"/>
      <c r="H106" s="92"/>
      <c r="I106" s="321" t="s">
        <v>625</v>
      </c>
      <c r="J106" s="321" t="s">
        <v>626</v>
      </c>
      <c r="K106" s="321" t="s">
        <v>627</v>
      </c>
      <c r="L106" s="321" t="s">
        <v>625</v>
      </c>
      <c r="M106" s="321" t="s">
        <v>626</v>
      </c>
      <c r="N106" s="336" t="s">
        <v>627</v>
      </c>
      <c r="O106" s="92"/>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row>
    <row r="107" spans="2:70" s="218" customFormat="1" ht="15" customHeight="1" x14ac:dyDescent="0.3">
      <c r="B107" s="266"/>
      <c r="C107" s="92"/>
      <c r="D107" s="386"/>
      <c r="E107" s="35"/>
      <c r="F107" s="35"/>
      <c r="G107" s="35"/>
      <c r="H107" s="387" t="s">
        <v>398</v>
      </c>
      <c r="I107" s="418">
        <f>SUM(N70,J100)</f>
        <v>0</v>
      </c>
      <c r="J107" s="175">
        <f>K100</f>
        <v>0</v>
      </c>
      <c r="K107" s="175">
        <f>L100</f>
        <v>0</v>
      </c>
      <c r="L107" s="419">
        <f>SUM(O70,M100)</f>
        <v>0</v>
      </c>
      <c r="M107" s="175">
        <f>N100</f>
        <v>0</v>
      </c>
      <c r="N107" s="420">
        <f>O100</f>
        <v>0</v>
      </c>
      <c r="O107" s="92"/>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row>
    <row r="108" spans="2:70" s="218" customFormat="1" ht="15" customHeight="1" thickBot="1" x14ac:dyDescent="0.35">
      <c r="B108" s="224"/>
      <c r="C108" s="388"/>
      <c r="D108" s="389"/>
      <c r="E108" s="97"/>
      <c r="F108" s="97"/>
      <c r="G108" s="97"/>
      <c r="H108" s="390" t="s">
        <v>292</v>
      </c>
      <c r="I108" s="389"/>
      <c r="J108" s="97"/>
      <c r="K108" s="97"/>
      <c r="L108" s="97"/>
      <c r="M108" s="97"/>
      <c r="N108" s="391"/>
      <c r="O108" s="92"/>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7"/>
      <c r="AZ108" s="267"/>
      <c r="BA108" s="267"/>
      <c r="BB108" s="267"/>
      <c r="BC108" s="267"/>
      <c r="BD108" s="267"/>
      <c r="BE108" s="267"/>
      <c r="BF108" s="267"/>
      <c r="BG108" s="267"/>
      <c r="BH108" s="267"/>
      <c r="BI108" s="267"/>
      <c r="BJ108" s="267"/>
      <c r="BK108" s="267"/>
      <c r="BL108" s="267"/>
      <c r="BM108" s="267"/>
      <c r="BN108" s="267"/>
      <c r="BO108" s="267"/>
      <c r="BP108" s="267"/>
      <c r="BQ108" s="267"/>
      <c r="BR108" s="267"/>
    </row>
    <row r="109" spans="2:70" ht="15" customHeight="1" thickTop="1" x14ac:dyDescent="0.25"/>
    <row r="110" spans="2:70" ht="15" customHeight="1" x14ac:dyDescent="0.25"/>
    <row r="111" spans="2:70" ht="15" customHeight="1" x14ac:dyDescent="0.25"/>
    <row r="112" spans="2:70"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sheetData>
  <customSheetViews>
    <customSheetView guid="{E748B311-90F6-4A4B-A4FB-821E74008EC3}" scale="75" fitToPage="1" printArea="1" hiddenRows="1" showRuler="0" topLeftCell="R99">
      <selection activeCell="Y125" sqref="Y125"/>
      <pageMargins left="0.75" right="0.75" top="0.75" bottom="1" header="0.5" footer="0.5"/>
      <printOptions horizontalCentered="1" verticalCentered="1"/>
      <pageSetup scale="54" fitToHeight="3" orientation="landscape" r:id="rId1"/>
      <headerFooter alignWithMargins="0"/>
    </customSheetView>
  </customSheetViews>
  <mergeCells count="22">
    <mergeCell ref="B7:C7"/>
    <mergeCell ref="C4:L4"/>
    <mergeCell ref="E16:E19"/>
    <mergeCell ref="B8:C8"/>
    <mergeCell ref="G17:H17"/>
    <mergeCell ref="Z93:AB93"/>
    <mergeCell ref="Y98:AC100"/>
    <mergeCell ref="M98:O98"/>
    <mergeCell ref="W22:AB23"/>
    <mergeCell ref="Y94:AC97"/>
    <mergeCell ref="W47:Z49"/>
    <mergeCell ref="X89:AC89"/>
    <mergeCell ref="X79:AC79"/>
    <mergeCell ref="I105:K105"/>
    <mergeCell ref="L105:N105"/>
    <mergeCell ref="E77:F77"/>
    <mergeCell ref="G77:I77"/>
    <mergeCell ref="J98:L98"/>
    <mergeCell ref="J77:L77"/>
    <mergeCell ref="M77:O77"/>
    <mergeCell ref="G81:I81"/>
    <mergeCell ref="G100:I100"/>
  </mergeCells>
  <phoneticPr fontId="26" type="noConversion"/>
  <printOptions horizontalCentered="1" verticalCentered="1"/>
  <pageMargins left="0.75" right="0.75" top="0.75" bottom="1" header="0.5" footer="0.5"/>
  <pageSetup scale="39" orientation="landscape" r:id="rId2"/>
  <headerFooter alignWithMargins="0">
    <oddHeader>&amp;L&amp;D&amp;R&amp;F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F354"/>
  <sheetViews>
    <sheetView zoomScale="75" zoomScaleNormal="75" workbookViewId="0"/>
  </sheetViews>
  <sheetFormatPr defaultColWidth="9.6640625" defaultRowHeight="13.8" x14ac:dyDescent="0.3"/>
  <cols>
    <col min="1" max="1" width="9.109375" style="87" customWidth="1"/>
    <col min="2" max="2" width="3.88671875" style="87" customWidth="1"/>
    <col min="3" max="3" width="31.5546875" style="87" customWidth="1"/>
    <col min="4" max="4" width="24.109375" style="87" customWidth="1"/>
    <col min="5" max="5" width="17.88671875" style="88" customWidth="1"/>
    <col min="6" max="6" width="24" style="88" customWidth="1"/>
    <col min="7" max="7" width="19.44140625" style="88" customWidth="1"/>
    <col min="8" max="8" width="16.44140625" style="87" customWidth="1"/>
    <col min="9" max="9" width="15.5546875" style="87" customWidth="1"/>
    <col min="10" max="10" width="18.6640625" style="87" customWidth="1"/>
    <col min="11" max="11" width="17.109375" style="87" customWidth="1"/>
    <col min="12" max="12" width="16.109375" style="87" customWidth="1"/>
    <col min="13" max="13" width="15.5546875" style="87" customWidth="1"/>
    <col min="14" max="15" width="16.44140625" style="87" customWidth="1"/>
    <col min="16" max="16" width="15" style="87" customWidth="1"/>
    <col min="17" max="17" width="16" style="87" customWidth="1"/>
    <col min="18" max="18" width="19.109375" style="87" customWidth="1"/>
    <col min="19" max="19" width="17.5546875" style="87" customWidth="1"/>
    <col min="20" max="20" width="15.88671875" style="87" customWidth="1"/>
    <col min="21" max="21" width="16.88671875" style="87" customWidth="1"/>
    <col min="22" max="22" width="16.33203125" style="87" customWidth="1"/>
    <col min="23" max="57" width="14.33203125" style="87" customWidth="1"/>
    <col min="58" max="58" width="9.6640625" style="89"/>
    <col min="59" max="16384" width="9.6640625" style="87"/>
  </cols>
  <sheetData>
    <row r="1" spans="1:58" s="92" customFormat="1" ht="42" customHeight="1" x14ac:dyDescent="0.45">
      <c r="C1" s="94" t="s">
        <v>34</v>
      </c>
      <c r="D1" s="95"/>
      <c r="E1" s="93"/>
      <c r="F1" s="93"/>
      <c r="G1" s="93"/>
      <c r="BF1" s="35"/>
    </row>
    <row r="2" spans="1:58" s="92" customFormat="1" ht="24" customHeight="1" x14ac:dyDescent="0.35">
      <c r="C2" s="95" t="s">
        <v>633</v>
      </c>
      <c r="D2" s="95"/>
      <c r="E2" s="93"/>
      <c r="F2" s="93"/>
      <c r="G2" s="93"/>
      <c r="BF2" s="35"/>
    </row>
    <row r="3" spans="1:58" s="92" customFormat="1" ht="18" customHeight="1" x14ac:dyDescent="0.35">
      <c r="A3" s="95"/>
      <c r="C3" s="92" t="s">
        <v>311</v>
      </c>
      <c r="E3" s="93"/>
      <c r="F3" s="93"/>
      <c r="G3" s="93"/>
      <c r="BF3" s="35"/>
    </row>
    <row r="4" spans="1:58" s="92" customFormat="1" x14ac:dyDescent="0.3">
      <c r="E4" s="93"/>
      <c r="F4" s="93"/>
      <c r="G4" s="93"/>
      <c r="BF4" s="35"/>
    </row>
    <row r="5" spans="1:58" s="92" customFormat="1" x14ac:dyDescent="0.3">
      <c r="E5" s="93"/>
      <c r="F5" s="93"/>
      <c r="G5" s="93"/>
      <c r="BF5" s="35"/>
    </row>
    <row r="6" spans="1:58" s="92" customFormat="1" ht="18" customHeight="1" thickBot="1" x14ac:dyDescent="0.4">
      <c r="A6" s="95"/>
      <c r="E6" s="93"/>
      <c r="F6" s="93"/>
      <c r="G6" s="93"/>
      <c r="BF6" s="35"/>
    </row>
    <row r="7" spans="1:58" s="92" customFormat="1" ht="18" customHeight="1" thickTop="1" x14ac:dyDescent="0.35">
      <c r="A7" s="95"/>
      <c r="B7" s="98" t="s">
        <v>283</v>
      </c>
      <c r="C7" s="118"/>
      <c r="D7" s="100"/>
      <c r="E7" s="450"/>
      <c r="F7" s="93"/>
      <c r="G7" s="93"/>
      <c r="BF7" s="35"/>
    </row>
    <row r="8" spans="1:58" s="92" customFormat="1" ht="18" customHeight="1" x14ac:dyDescent="0.35">
      <c r="A8" s="95"/>
      <c r="B8" s="799" t="s">
        <v>564</v>
      </c>
      <c r="C8" s="800"/>
      <c r="D8" s="28"/>
      <c r="E8" s="451"/>
      <c r="F8" s="93"/>
      <c r="G8" s="93"/>
      <c r="BF8" s="35"/>
    </row>
    <row r="9" spans="1:58" s="92" customFormat="1" ht="18" customHeight="1" x14ac:dyDescent="0.35">
      <c r="A9" s="95"/>
      <c r="B9" s="799" t="s">
        <v>565</v>
      </c>
      <c r="C9" s="800"/>
      <c r="D9" s="29"/>
      <c r="E9" s="451"/>
      <c r="F9" s="93"/>
      <c r="G9" s="93"/>
      <c r="BF9" s="35"/>
    </row>
    <row r="10" spans="1:58" s="92" customFormat="1" ht="18" customHeight="1" thickBot="1" x14ac:dyDescent="0.35">
      <c r="B10" s="106"/>
      <c r="C10" s="107"/>
      <c r="D10" s="107"/>
      <c r="E10" s="452"/>
      <c r="F10" s="126"/>
      <c r="G10" s="103"/>
      <c r="H10" s="35"/>
      <c r="I10" s="35"/>
      <c r="J10" s="35"/>
      <c r="K10" s="35"/>
      <c r="L10" s="35"/>
      <c r="M10" s="35"/>
      <c r="N10" s="35"/>
      <c r="O10" s="35"/>
      <c r="P10" s="35"/>
      <c r="Q10" s="35"/>
      <c r="R10" s="35"/>
      <c r="S10" s="35"/>
      <c r="BF10" s="35"/>
    </row>
    <row r="11" spans="1:58" s="92" customFormat="1" ht="27" customHeight="1" thickTop="1" x14ac:dyDescent="0.3">
      <c r="B11" s="116"/>
      <c r="D11" s="116"/>
      <c r="E11" s="125"/>
      <c r="F11" s="126"/>
      <c r="G11" s="103"/>
      <c r="H11" s="35"/>
      <c r="I11" s="35"/>
      <c r="J11" s="35"/>
      <c r="K11" s="35"/>
      <c r="L11" s="35"/>
      <c r="M11" s="35"/>
      <c r="N11" s="35"/>
      <c r="O11" s="35"/>
      <c r="P11" s="35"/>
      <c r="Q11" s="35"/>
      <c r="R11" s="35"/>
      <c r="S11" s="35"/>
      <c r="BF11" s="35"/>
    </row>
    <row r="12" spans="1:58" s="92" customFormat="1" ht="27" customHeight="1" thickBot="1" x14ac:dyDescent="0.4">
      <c r="B12" s="116"/>
      <c r="C12" s="453" t="s">
        <v>634</v>
      </c>
      <c r="D12" s="116"/>
      <c r="E12" s="125"/>
      <c r="F12" s="126"/>
      <c r="G12" s="103"/>
      <c r="H12" s="35"/>
      <c r="I12" s="35"/>
      <c r="J12" s="35"/>
      <c r="K12" s="35"/>
      <c r="L12" s="35"/>
      <c r="M12" s="35"/>
      <c r="N12" s="35"/>
      <c r="O12" s="35"/>
      <c r="P12" s="35"/>
      <c r="Q12" s="35"/>
      <c r="R12" s="35"/>
      <c r="S12" s="35"/>
      <c r="BF12" s="35"/>
    </row>
    <row r="13" spans="1:58" s="92" customFormat="1" ht="57" customHeight="1" thickTop="1" thickBot="1" x14ac:dyDescent="0.35">
      <c r="B13" s="454"/>
      <c r="C13" s="847" t="s">
        <v>635</v>
      </c>
      <c r="D13" s="848"/>
      <c r="E13" s="848"/>
      <c r="F13" s="848"/>
      <c r="G13" s="848"/>
      <c r="H13" s="455"/>
      <c r="I13" s="455"/>
      <c r="J13" s="455"/>
      <c r="K13" s="455"/>
      <c r="L13" s="455"/>
      <c r="M13" s="455"/>
      <c r="N13" s="455"/>
      <c r="O13" s="456"/>
      <c r="P13" s="35"/>
      <c r="Q13" s="35"/>
      <c r="R13" s="35"/>
      <c r="S13" s="35"/>
      <c r="BF13" s="35"/>
    </row>
    <row r="14" spans="1:58" s="92" customFormat="1" ht="54" customHeight="1" thickTop="1" x14ac:dyDescent="0.3">
      <c r="B14" s="119"/>
      <c r="C14" s="840" t="s">
        <v>646</v>
      </c>
      <c r="D14" s="835"/>
      <c r="E14" s="835"/>
      <c r="F14" s="835"/>
      <c r="G14" s="835"/>
      <c r="H14" s="835"/>
      <c r="I14" s="835"/>
      <c r="J14" s="835"/>
      <c r="K14" s="35"/>
      <c r="L14" s="35"/>
      <c r="M14" s="118"/>
      <c r="N14" s="35"/>
      <c r="O14" s="35"/>
      <c r="P14" s="119"/>
      <c r="Q14" s="35"/>
      <c r="R14" s="35"/>
      <c r="S14" s="35"/>
      <c r="BF14" s="35"/>
    </row>
    <row r="15" spans="1:58" s="92" customFormat="1" ht="18" customHeight="1" x14ac:dyDescent="0.3">
      <c r="B15" s="119"/>
      <c r="C15" s="105"/>
      <c r="D15" s="103"/>
      <c r="E15" s="103"/>
      <c r="F15" s="103"/>
      <c r="G15" s="103"/>
      <c r="H15" s="35"/>
      <c r="I15" s="35"/>
      <c r="J15" s="35"/>
      <c r="K15" s="35"/>
      <c r="L15" s="35"/>
      <c r="M15" s="35"/>
      <c r="N15" s="35"/>
      <c r="O15" s="104"/>
      <c r="P15" s="35"/>
      <c r="Q15" s="35"/>
      <c r="R15" s="35"/>
      <c r="S15" s="35"/>
      <c r="T15" s="35"/>
      <c r="BF15" s="35"/>
    </row>
    <row r="16" spans="1:58" s="92" customFormat="1" ht="18" customHeight="1" x14ac:dyDescent="0.3">
      <c r="B16" s="119"/>
      <c r="C16" s="105"/>
      <c r="D16" s="103"/>
      <c r="E16" s="844" t="s">
        <v>450</v>
      </c>
      <c r="F16" s="806"/>
      <c r="G16" s="806"/>
      <c r="H16" s="806"/>
      <c r="I16" s="806"/>
      <c r="J16" s="806"/>
      <c r="K16" s="806"/>
      <c r="L16" s="806"/>
      <c r="M16" s="806"/>
      <c r="N16" s="805"/>
      <c r="O16" s="104"/>
      <c r="P16" s="35"/>
      <c r="Q16" s="35"/>
      <c r="R16" s="35"/>
      <c r="S16" s="35"/>
      <c r="T16" s="35"/>
      <c r="BF16" s="35"/>
    </row>
    <row r="17" spans="2:58" s="92" customFormat="1" ht="18" customHeight="1" x14ac:dyDescent="0.3">
      <c r="B17" s="119"/>
      <c r="C17" s="35"/>
      <c r="D17" s="103"/>
      <c r="E17" s="151" t="s">
        <v>359</v>
      </c>
      <c r="F17" s="151" t="s">
        <v>360</v>
      </c>
      <c r="G17" s="152" t="s">
        <v>334</v>
      </c>
      <c r="H17" s="152" t="s">
        <v>340</v>
      </c>
      <c r="I17" s="155" t="s">
        <v>335</v>
      </c>
      <c r="J17" s="155" t="s">
        <v>336</v>
      </c>
      <c r="K17" s="152" t="s">
        <v>339</v>
      </c>
      <c r="L17" s="153" t="s">
        <v>348</v>
      </c>
      <c r="M17" s="153" t="s">
        <v>361</v>
      </c>
      <c r="N17" s="153" t="s">
        <v>362</v>
      </c>
      <c r="O17" s="132"/>
      <c r="P17" s="35"/>
      <c r="Q17" s="35"/>
      <c r="R17" s="35"/>
      <c r="S17" s="35"/>
      <c r="T17" s="35"/>
      <c r="BF17" s="35"/>
    </row>
    <row r="18" spans="2:58" s="92" customFormat="1" ht="81" customHeight="1" x14ac:dyDescent="0.3">
      <c r="B18" s="68"/>
      <c r="C18" s="66"/>
      <c r="D18" s="457"/>
      <c r="E18" s="458" t="s">
        <v>357</v>
      </c>
      <c r="F18" s="156" t="s">
        <v>28</v>
      </c>
      <c r="G18" s="157" t="s">
        <v>29</v>
      </c>
      <c r="H18" s="157" t="s">
        <v>31</v>
      </c>
      <c r="I18" s="157" t="s">
        <v>30</v>
      </c>
      <c r="J18" s="157" t="s">
        <v>45</v>
      </c>
      <c r="K18" s="156" t="s">
        <v>46</v>
      </c>
      <c r="L18" s="158" t="s">
        <v>32</v>
      </c>
      <c r="M18" s="153" t="s">
        <v>636</v>
      </c>
      <c r="N18" s="153" t="s">
        <v>637</v>
      </c>
      <c r="O18" s="135"/>
      <c r="P18" s="35"/>
      <c r="Q18" s="35"/>
      <c r="R18" s="35"/>
      <c r="S18" s="35"/>
      <c r="T18" s="35"/>
      <c r="BF18" s="35"/>
    </row>
    <row r="19" spans="2:58" s="92" customFormat="1" ht="44.25" customHeight="1" x14ac:dyDescent="0.3">
      <c r="B19" s="119"/>
      <c r="C19" s="35"/>
      <c r="D19" s="103"/>
      <c r="E19" s="417"/>
      <c r="F19" s="159"/>
      <c r="G19" s="158"/>
      <c r="H19" s="158"/>
      <c r="I19" s="158"/>
      <c r="J19" s="158"/>
      <c r="K19" s="158" t="s">
        <v>369</v>
      </c>
      <c r="L19" s="160" t="s">
        <v>47</v>
      </c>
      <c r="M19" s="160" t="s">
        <v>248</v>
      </c>
      <c r="N19" s="160" t="s">
        <v>249</v>
      </c>
      <c r="O19" s="135"/>
      <c r="P19" s="35"/>
      <c r="Q19" s="35"/>
      <c r="R19" s="35"/>
      <c r="S19" s="35"/>
      <c r="T19" s="35"/>
      <c r="BF19" s="35"/>
    </row>
    <row r="20" spans="2:58" s="92" customFormat="1" ht="18" customHeight="1" x14ac:dyDescent="0.3">
      <c r="B20" s="119"/>
      <c r="C20" s="35" t="s">
        <v>26</v>
      </c>
      <c r="D20" s="459" t="s">
        <v>27</v>
      </c>
      <c r="E20" s="460">
        <v>0.5</v>
      </c>
      <c r="F20" s="161">
        <v>820000</v>
      </c>
      <c r="G20" s="136">
        <v>0.75</v>
      </c>
      <c r="H20" s="136">
        <v>0.9</v>
      </c>
      <c r="I20" s="134">
        <v>0.47</v>
      </c>
      <c r="J20" s="134">
        <v>0.1</v>
      </c>
      <c r="K20" s="161">
        <f>((F20/G20)*(1-G20)*I20*(1-J20))+(F20*I20*(1-H20))</f>
        <v>154160</v>
      </c>
      <c r="L20" s="461">
        <f>K20*0.72/1000</f>
        <v>110.9952</v>
      </c>
      <c r="M20" s="134">
        <f>E20*L20</f>
        <v>55.497599999999998</v>
      </c>
      <c r="N20" s="134">
        <f>(1-E20)*L20</f>
        <v>55.497599999999998</v>
      </c>
      <c r="O20" s="140"/>
      <c r="P20" s="35"/>
      <c r="Q20" s="35"/>
      <c r="R20" s="35"/>
      <c r="S20" s="35"/>
      <c r="T20" s="35"/>
      <c r="BF20" s="35"/>
    </row>
    <row r="21" spans="2:58" s="92" customFormat="1" ht="18" customHeight="1" x14ac:dyDescent="0.3">
      <c r="B21" s="124"/>
      <c r="C21" s="146" t="s">
        <v>25</v>
      </c>
      <c r="D21" s="147" t="s">
        <v>24</v>
      </c>
      <c r="E21" s="326"/>
      <c r="F21" s="141"/>
      <c r="G21" s="142"/>
      <c r="H21" s="143"/>
      <c r="I21" s="144"/>
      <c r="J21" s="144"/>
      <c r="K21" s="143"/>
      <c r="L21" s="141"/>
      <c r="M21" s="144"/>
      <c r="N21" s="141"/>
      <c r="O21" s="145"/>
      <c r="P21" s="35"/>
      <c r="Q21" s="35"/>
      <c r="R21" s="35"/>
      <c r="S21" s="35"/>
      <c r="T21" s="35"/>
      <c r="BF21" s="35"/>
    </row>
    <row r="22" spans="2:58" s="92" customFormat="1" ht="18" customHeight="1" x14ac:dyDescent="0.3">
      <c r="B22" s="119"/>
      <c r="C22" s="477"/>
      <c r="D22" s="478"/>
      <c r="E22" s="479"/>
      <c r="F22" s="478"/>
      <c r="G22" s="480"/>
      <c r="H22" s="480"/>
      <c r="I22" s="480"/>
      <c r="J22" s="480"/>
      <c r="K22" s="173">
        <f>IF(G22=0,0,((F22/G22)*(1-G22)*I22*(1-J22))+(F22*I22*(1-H22)))</f>
        <v>0</v>
      </c>
      <c r="L22" s="481">
        <f>K22*0.72/1000</f>
        <v>0</v>
      </c>
      <c r="M22" s="173">
        <f>E22*L22</f>
        <v>0</v>
      </c>
      <c r="N22" s="173">
        <f>(1-E22)*L22</f>
        <v>0</v>
      </c>
      <c r="O22" s="163"/>
      <c r="P22" s="35"/>
      <c r="Q22" s="35"/>
      <c r="R22" s="35"/>
      <c r="S22" s="35"/>
      <c r="T22" s="35"/>
      <c r="BF22" s="35"/>
    </row>
    <row r="23" spans="2:58" s="92" customFormat="1" ht="18" customHeight="1" x14ac:dyDescent="0.3">
      <c r="B23" s="119"/>
      <c r="C23" s="477"/>
      <c r="D23" s="478"/>
      <c r="E23" s="479"/>
      <c r="F23" s="478"/>
      <c r="G23" s="480"/>
      <c r="H23" s="480"/>
      <c r="I23" s="480"/>
      <c r="J23" s="480"/>
      <c r="K23" s="173">
        <f>IF(G23=0,0,((F23/G23)*(1-G23)*I23*(1-J23))+(F23*I23*(1-H23)))</f>
        <v>0</v>
      </c>
      <c r="L23" s="481">
        <f>K23*0.72/1000</f>
        <v>0</v>
      </c>
      <c r="M23" s="173">
        <f>E23*L23</f>
        <v>0</v>
      </c>
      <c r="N23" s="173">
        <f>(1-E23)*L23</f>
        <v>0</v>
      </c>
      <c r="O23" s="163"/>
      <c r="P23" s="35"/>
      <c r="Q23" s="35"/>
      <c r="R23" s="35"/>
      <c r="S23" s="35"/>
      <c r="T23" s="35"/>
      <c r="BF23" s="35"/>
    </row>
    <row r="24" spans="2:58" s="92" customFormat="1" ht="18" customHeight="1" x14ac:dyDescent="0.3">
      <c r="B24" s="119"/>
      <c r="C24" s="477"/>
      <c r="D24" s="478"/>
      <c r="E24" s="479"/>
      <c r="F24" s="478"/>
      <c r="G24" s="480"/>
      <c r="H24" s="480"/>
      <c r="I24" s="480"/>
      <c r="J24" s="480"/>
      <c r="K24" s="173">
        <f>IF(G24=0,0,((F24/G24)*(1-G24)*I24*(1-J24))+(F24*I24*(1-H24)))</f>
        <v>0</v>
      </c>
      <c r="L24" s="481">
        <f>K24*0.72/1000</f>
        <v>0</v>
      </c>
      <c r="M24" s="173">
        <f>E24*L24</f>
        <v>0</v>
      </c>
      <c r="N24" s="173">
        <f>(1-E24)*L24</f>
        <v>0</v>
      </c>
      <c r="O24" s="163"/>
      <c r="P24" s="35"/>
      <c r="Q24" s="35"/>
      <c r="R24" s="35"/>
      <c r="S24" s="35"/>
      <c r="T24" s="35"/>
      <c r="U24" s="35"/>
      <c r="V24" s="35"/>
      <c r="BF24" s="35"/>
    </row>
    <row r="25" spans="2:58" s="92" customFormat="1" ht="18" customHeight="1" x14ac:dyDescent="0.3">
      <c r="B25" s="119"/>
      <c r="C25" s="477"/>
      <c r="D25" s="478"/>
      <c r="E25" s="479"/>
      <c r="F25" s="478"/>
      <c r="G25" s="480"/>
      <c r="H25" s="480"/>
      <c r="I25" s="480"/>
      <c r="J25" s="480"/>
      <c r="K25" s="173">
        <f>IF(G25=0,0,((F25/G25)*(1-G25)*I25*(1-J25))+(F25*I25*(1-H25)))</f>
        <v>0</v>
      </c>
      <c r="L25" s="481">
        <f>K25*0.72/1000</f>
        <v>0</v>
      </c>
      <c r="M25" s="173">
        <f>E25*L25</f>
        <v>0</v>
      </c>
      <c r="N25" s="173">
        <f>(1-E25)*L25</f>
        <v>0</v>
      </c>
      <c r="O25" s="163"/>
      <c r="P25" s="35"/>
      <c r="Q25" s="35"/>
      <c r="R25" s="35"/>
      <c r="S25" s="35"/>
      <c r="T25" s="35"/>
      <c r="U25" s="35"/>
      <c r="V25" s="35"/>
      <c r="BF25" s="35"/>
    </row>
    <row r="26" spans="2:58" s="92" customFormat="1" ht="18" customHeight="1" x14ac:dyDescent="0.3">
      <c r="B26" s="119"/>
      <c r="C26" s="477"/>
      <c r="D26" s="478"/>
      <c r="E26" s="479"/>
      <c r="F26" s="478"/>
      <c r="G26" s="480"/>
      <c r="H26" s="480"/>
      <c r="I26" s="480"/>
      <c r="J26" s="480"/>
      <c r="K26" s="173">
        <f>IF(G26=0,0,((F26/G26)*(1-G26)*I26*(1-J26))+(F26*I26*(1-H26)))</f>
        <v>0</v>
      </c>
      <c r="L26" s="481">
        <f>K26*0.72/1000</f>
        <v>0</v>
      </c>
      <c r="M26" s="173">
        <f>E26*L26</f>
        <v>0</v>
      </c>
      <c r="N26" s="173">
        <f>(1-E26)*L26</f>
        <v>0</v>
      </c>
      <c r="O26" s="163"/>
      <c r="BF26" s="35"/>
    </row>
    <row r="27" spans="2:58" s="92" customFormat="1" ht="18" customHeight="1" x14ac:dyDescent="0.3">
      <c r="B27" s="164"/>
      <c r="C27" s="38"/>
      <c r="D27" s="165"/>
      <c r="E27" s="165"/>
      <c r="F27" s="165"/>
      <c r="G27" s="165"/>
      <c r="H27" s="165"/>
      <c r="I27" s="38"/>
      <c r="J27" s="38"/>
      <c r="K27" s="463"/>
      <c r="L27" s="463"/>
      <c r="M27" s="463"/>
      <c r="N27" s="463"/>
      <c r="O27" s="167"/>
      <c r="BF27" s="35"/>
    </row>
    <row r="28" spans="2:58" s="92" customFormat="1" ht="18" customHeight="1" thickBot="1" x14ac:dyDescent="0.4">
      <c r="B28" s="464"/>
      <c r="C28" s="465"/>
      <c r="D28" s="466"/>
      <c r="E28" s="466"/>
      <c r="F28" s="466"/>
      <c r="G28" s="466"/>
      <c r="H28" s="466"/>
      <c r="I28" s="831" t="s">
        <v>319</v>
      </c>
      <c r="J28" s="832"/>
      <c r="K28" s="832"/>
      <c r="L28" s="833"/>
      <c r="M28" s="482">
        <f>SUM(M22:M26)</f>
        <v>0</v>
      </c>
      <c r="N28" s="482">
        <f>SUM(N22:N26)</f>
        <v>0</v>
      </c>
      <c r="O28" s="111" t="s">
        <v>644</v>
      </c>
      <c r="BF28" s="35"/>
    </row>
    <row r="29" spans="2:58" s="92" customFormat="1" ht="20.25" customHeight="1" thickTop="1" x14ac:dyDescent="0.35">
      <c r="B29" s="316"/>
      <c r="C29" s="99" t="s">
        <v>647</v>
      </c>
      <c r="D29" s="101"/>
      <c r="E29" s="101"/>
      <c r="F29" s="101"/>
      <c r="G29" s="118"/>
      <c r="H29" s="118"/>
      <c r="I29" s="118"/>
      <c r="J29" s="118"/>
      <c r="K29" s="118"/>
      <c r="L29" s="118"/>
      <c r="M29" s="118"/>
      <c r="N29" s="35"/>
      <c r="O29" s="118"/>
      <c r="P29" s="118"/>
      <c r="Q29" s="118"/>
      <c r="R29" s="118"/>
      <c r="S29" s="102"/>
      <c r="BF29" s="35"/>
    </row>
    <row r="30" spans="2:58" s="92" customFormat="1" ht="54.75" customHeight="1" x14ac:dyDescent="0.3">
      <c r="B30" s="119"/>
      <c r="C30" s="763" t="s">
        <v>645</v>
      </c>
      <c r="D30" s="825"/>
      <c r="E30" s="825"/>
      <c r="F30" s="825"/>
      <c r="G30" s="825"/>
      <c r="H30" s="825"/>
      <c r="I30" s="825"/>
      <c r="J30" s="825"/>
      <c r="K30" s="825"/>
      <c r="L30" s="825"/>
      <c r="M30" s="35"/>
      <c r="N30" s="35"/>
      <c r="O30" s="35"/>
      <c r="P30" s="35"/>
      <c r="Q30" s="35"/>
      <c r="S30" s="104"/>
      <c r="BF30" s="35"/>
    </row>
    <row r="31" spans="2:58" s="92" customFormat="1" ht="18" customHeight="1" x14ac:dyDescent="0.3">
      <c r="B31" s="119"/>
      <c r="C31" s="105"/>
      <c r="D31" s="103"/>
      <c r="E31" s="103"/>
      <c r="F31" s="103"/>
      <c r="G31" s="103"/>
      <c r="H31" s="35"/>
      <c r="I31" s="35"/>
      <c r="J31" s="35"/>
      <c r="K31" s="35"/>
      <c r="L31" s="35"/>
      <c r="M31" s="35"/>
      <c r="N31" s="35"/>
      <c r="O31" s="35"/>
      <c r="P31" s="35"/>
      <c r="Q31" s="35"/>
      <c r="R31" s="35"/>
      <c r="S31" s="104"/>
      <c r="BF31" s="35"/>
    </row>
    <row r="32" spans="2:58" s="92" customFormat="1" ht="18" customHeight="1" x14ac:dyDescent="0.3">
      <c r="B32" s="119"/>
      <c r="C32" s="105"/>
      <c r="D32" s="103"/>
      <c r="E32" s="844" t="s">
        <v>450</v>
      </c>
      <c r="F32" s="806"/>
      <c r="G32" s="806"/>
      <c r="H32" s="806"/>
      <c r="I32" s="806"/>
      <c r="J32" s="806"/>
      <c r="K32" s="805"/>
      <c r="L32" s="836" t="s">
        <v>465</v>
      </c>
      <c r="M32" s="837"/>
      <c r="N32" s="837"/>
      <c r="O32" s="838"/>
      <c r="P32" s="467"/>
      <c r="Q32" s="467"/>
      <c r="R32" s="467"/>
      <c r="S32" s="104"/>
      <c r="BF32" s="35"/>
    </row>
    <row r="33" spans="2:58" s="92" customFormat="1" ht="18" customHeight="1" x14ac:dyDescent="0.3">
      <c r="B33" s="119"/>
      <c r="C33" s="35"/>
      <c r="D33" s="120"/>
      <c r="E33" s="129" t="s">
        <v>359</v>
      </c>
      <c r="F33" s="129" t="s">
        <v>360</v>
      </c>
      <c r="G33" s="130" t="s">
        <v>334</v>
      </c>
      <c r="H33" s="130" t="s">
        <v>340</v>
      </c>
      <c r="I33" s="130" t="s">
        <v>335</v>
      </c>
      <c r="J33" s="130" t="s">
        <v>336</v>
      </c>
      <c r="K33" s="130" t="s">
        <v>339</v>
      </c>
      <c r="L33" s="130" t="s">
        <v>348</v>
      </c>
      <c r="M33" s="131" t="s">
        <v>44</v>
      </c>
      <c r="N33" s="468" t="s">
        <v>55</v>
      </c>
      <c r="O33" s="131" t="s">
        <v>56</v>
      </c>
      <c r="P33" s="131" t="s">
        <v>95</v>
      </c>
      <c r="Q33" s="131" t="s">
        <v>41</v>
      </c>
      <c r="R33" s="131" t="s">
        <v>40</v>
      </c>
      <c r="S33" s="132"/>
      <c r="BF33" s="35"/>
    </row>
    <row r="34" spans="2:58" s="92" customFormat="1" ht="111" customHeight="1" x14ac:dyDescent="0.3">
      <c r="B34" s="68"/>
      <c r="C34" s="66"/>
      <c r="D34" s="121"/>
      <c r="E34" s="458" t="s">
        <v>357</v>
      </c>
      <c r="F34" s="156" t="s">
        <v>53</v>
      </c>
      <c r="G34" s="157" t="s">
        <v>54</v>
      </c>
      <c r="H34" s="157" t="s">
        <v>48</v>
      </c>
      <c r="I34" s="157" t="s">
        <v>50</v>
      </c>
      <c r="J34" s="157" t="s">
        <v>51</v>
      </c>
      <c r="K34" s="156" t="s">
        <v>49</v>
      </c>
      <c r="L34" s="157" t="s">
        <v>45</v>
      </c>
      <c r="M34" s="157" t="s">
        <v>94</v>
      </c>
      <c r="N34" s="201" t="s">
        <v>99</v>
      </c>
      <c r="O34" s="158" t="s">
        <v>52</v>
      </c>
      <c r="P34" s="158" t="s">
        <v>32</v>
      </c>
      <c r="Q34" s="153" t="s">
        <v>636</v>
      </c>
      <c r="R34" s="153" t="s">
        <v>637</v>
      </c>
      <c r="S34" s="135"/>
      <c r="BF34" s="35"/>
    </row>
    <row r="35" spans="2:58" s="92" customFormat="1" ht="46.5" customHeight="1" x14ac:dyDescent="0.3">
      <c r="B35" s="119"/>
      <c r="C35" s="35"/>
      <c r="D35" s="120"/>
      <c r="E35" s="417"/>
      <c r="F35" s="159"/>
      <c r="G35" s="158"/>
      <c r="H35" s="158"/>
      <c r="I35" s="158"/>
      <c r="J35" s="158"/>
      <c r="K35" s="158" t="s">
        <v>370</v>
      </c>
      <c r="L35" s="158"/>
      <c r="M35" s="158"/>
      <c r="N35" s="115"/>
      <c r="O35" s="485" t="s">
        <v>97</v>
      </c>
      <c r="P35" s="160" t="s">
        <v>98</v>
      </c>
      <c r="Q35" s="160" t="s">
        <v>250</v>
      </c>
      <c r="R35" s="160" t="s">
        <v>251</v>
      </c>
      <c r="S35" s="135"/>
      <c r="BF35" s="35"/>
    </row>
    <row r="36" spans="2:58" s="92" customFormat="1" ht="20.25" customHeight="1" x14ac:dyDescent="0.3">
      <c r="B36" s="119"/>
      <c r="C36" s="35" t="s">
        <v>26</v>
      </c>
      <c r="D36" s="459" t="s">
        <v>27</v>
      </c>
      <c r="E36" s="460">
        <v>0.7</v>
      </c>
      <c r="F36" s="136">
        <v>17500</v>
      </c>
      <c r="G36" s="136">
        <v>100</v>
      </c>
      <c r="H36" s="136">
        <v>0.03</v>
      </c>
      <c r="I36" s="136">
        <v>20</v>
      </c>
      <c r="J36" s="136">
        <v>0</v>
      </c>
      <c r="K36" s="137">
        <f>F36*G36*(EXP(-H36*J36)-EXP(-H36*I36))</f>
        <v>789579.6368354538</v>
      </c>
      <c r="L36" s="134">
        <v>0.1</v>
      </c>
      <c r="M36" s="134">
        <v>0</v>
      </c>
      <c r="N36" s="134">
        <v>0</v>
      </c>
      <c r="O36" s="469">
        <f>(K36*(1-M36)*(1-L36))+(K36*M36*(1-N36))</f>
        <v>710621.67315190844</v>
      </c>
      <c r="P36" s="469">
        <f>O36*0.72/1000</f>
        <v>511.64760466937406</v>
      </c>
      <c r="Q36" s="137">
        <f>E36*P36</f>
        <v>358.15332326856185</v>
      </c>
      <c r="R36" s="137">
        <f>(1-E36)*P36</f>
        <v>153.49428140081224</v>
      </c>
      <c r="S36" s="140"/>
      <c r="BF36" s="35"/>
    </row>
    <row r="37" spans="2:58" s="92" customFormat="1" ht="19.5" customHeight="1" x14ac:dyDescent="0.3">
      <c r="B37" s="124"/>
      <c r="C37" s="146" t="s">
        <v>25</v>
      </c>
      <c r="D37" s="147" t="s">
        <v>24</v>
      </c>
      <c r="E37" s="326"/>
      <c r="F37" s="141"/>
      <c r="G37" s="142"/>
      <c r="H37" s="143"/>
      <c r="I37" s="143"/>
      <c r="J37" s="143"/>
      <c r="K37" s="143"/>
      <c r="L37" s="144"/>
      <c r="M37" s="144"/>
      <c r="N37" s="144"/>
      <c r="O37" s="141"/>
      <c r="P37" s="141"/>
      <c r="Q37" s="144"/>
      <c r="R37" s="141"/>
      <c r="S37" s="145"/>
      <c r="BF37" s="35"/>
    </row>
    <row r="38" spans="2:58" s="92" customFormat="1" ht="18.75" customHeight="1" x14ac:dyDescent="0.3">
      <c r="B38" s="119"/>
      <c r="C38" s="477"/>
      <c r="D38" s="478"/>
      <c r="E38" s="479"/>
      <c r="F38" s="478"/>
      <c r="G38" s="480"/>
      <c r="H38" s="480"/>
      <c r="I38" s="480"/>
      <c r="J38" s="480"/>
      <c r="K38" s="173">
        <f>F38*G38*(EXP(-H38*J38)-EXP(-H38*I38))</f>
        <v>0</v>
      </c>
      <c r="L38" s="483"/>
      <c r="M38" s="483"/>
      <c r="N38" s="483"/>
      <c r="O38" s="484">
        <f>(K38*(1-M38)*(1-L38))+(K38*M38*(1-N38))</f>
        <v>0</v>
      </c>
      <c r="P38" s="173">
        <f>O38*0.72/1000</f>
        <v>0</v>
      </c>
      <c r="Q38" s="173">
        <f>E38*P38</f>
        <v>0</v>
      </c>
      <c r="R38" s="173">
        <f>(1-E38)*P38</f>
        <v>0</v>
      </c>
      <c r="S38" s="145"/>
      <c r="BF38" s="35"/>
    </row>
    <row r="39" spans="2:58" s="92" customFormat="1" ht="18" customHeight="1" x14ac:dyDescent="0.3">
      <c r="B39" s="119"/>
      <c r="C39" s="477"/>
      <c r="D39" s="478"/>
      <c r="E39" s="479"/>
      <c r="F39" s="478"/>
      <c r="G39" s="480"/>
      <c r="H39" s="480"/>
      <c r="I39" s="480"/>
      <c r="J39" s="480"/>
      <c r="K39" s="173">
        <f>F39*G39*(EXP(-H39*J39)-EXP(-H39*I39))</f>
        <v>0</v>
      </c>
      <c r="L39" s="483"/>
      <c r="M39" s="483"/>
      <c r="N39" s="483"/>
      <c r="O39" s="484">
        <f>(K39*(1-M39)*(1-L39))+(K39*M39*(1-N39))</f>
        <v>0</v>
      </c>
      <c r="P39" s="173">
        <f>O39*0.72/1000</f>
        <v>0</v>
      </c>
      <c r="Q39" s="173">
        <f>E39*P39</f>
        <v>0</v>
      </c>
      <c r="R39" s="173">
        <f>(1-E39)*P39</f>
        <v>0</v>
      </c>
      <c r="S39" s="145"/>
      <c r="BF39" s="35"/>
    </row>
    <row r="40" spans="2:58" s="92" customFormat="1" ht="20.25" customHeight="1" x14ac:dyDescent="0.3">
      <c r="B40" s="119"/>
      <c r="C40" s="477"/>
      <c r="D40" s="478"/>
      <c r="E40" s="479"/>
      <c r="F40" s="478"/>
      <c r="G40" s="480"/>
      <c r="H40" s="480"/>
      <c r="I40" s="480"/>
      <c r="J40" s="480"/>
      <c r="K40" s="173">
        <f>F40*G40*(EXP(-H40*J40)-EXP(-H40*I40))</f>
        <v>0</v>
      </c>
      <c r="L40" s="483"/>
      <c r="M40" s="483"/>
      <c r="N40" s="483"/>
      <c r="O40" s="484">
        <f>(K40*(1-M40)*(1-L40))+(K40*M40*(1-N40))</f>
        <v>0</v>
      </c>
      <c r="P40" s="173">
        <f>O40*0.72/1000</f>
        <v>0</v>
      </c>
      <c r="Q40" s="173">
        <f>E40*P40</f>
        <v>0</v>
      </c>
      <c r="R40" s="173">
        <f>(1-E40)*P40</f>
        <v>0</v>
      </c>
      <c r="S40" s="145"/>
      <c r="BF40" s="35"/>
    </row>
    <row r="41" spans="2:58" s="92" customFormat="1" ht="21" customHeight="1" x14ac:dyDescent="0.3">
      <c r="B41" s="119"/>
      <c r="C41" s="477"/>
      <c r="D41" s="478"/>
      <c r="E41" s="479"/>
      <c r="F41" s="478"/>
      <c r="G41" s="480"/>
      <c r="H41" s="480"/>
      <c r="I41" s="480"/>
      <c r="J41" s="480"/>
      <c r="K41" s="173">
        <f>F41*G41*(EXP(-H41*J41)-EXP(-H41*I41))</f>
        <v>0</v>
      </c>
      <c r="L41" s="483"/>
      <c r="M41" s="483"/>
      <c r="N41" s="483"/>
      <c r="O41" s="484">
        <f>(K41*(1-M41)*(1-L41))+(K41*M41*(1-N41))</f>
        <v>0</v>
      </c>
      <c r="P41" s="173">
        <f>O41*0.72/1000</f>
        <v>0</v>
      </c>
      <c r="Q41" s="173">
        <f>E41*P41</f>
        <v>0</v>
      </c>
      <c r="R41" s="173">
        <f>(1-E41)*P41</f>
        <v>0</v>
      </c>
      <c r="S41" s="145"/>
      <c r="BF41" s="35"/>
    </row>
    <row r="42" spans="2:58" s="92" customFormat="1" ht="20.25" customHeight="1" x14ac:dyDescent="0.3">
      <c r="B42" s="119"/>
      <c r="C42" s="477"/>
      <c r="D42" s="478"/>
      <c r="E42" s="479"/>
      <c r="F42" s="478"/>
      <c r="G42" s="480"/>
      <c r="H42" s="480"/>
      <c r="I42" s="480"/>
      <c r="J42" s="480"/>
      <c r="K42" s="173">
        <f>F42*G42*(EXP(-H42*J42)-EXP(-H42*I42))</f>
        <v>0</v>
      </c>
      <c r="L42" s="483"/>
      <c r="M42" s="483"/>
      <c r="N42" s="483"/>
      <c r="O42" s="484">
        <f>(K42*(1-M42)*(1-L42))+(K42*M42*(1-N42))</f>
        <v>0</v>
      </c>
      <c r="P42" s="173">
        <f>O42*0.72/1000</f>
        <v>0</v>
      </c>
      <c r="Q42" s="173">
        <f>E42*P42</f>
        <v>0</v>
      </c>
      <c r="R42" s="173">
        <f>(1-E42)*P42</f>
        <v>0</v>
      </c>
      <c r="S42" s="145"/>
      <c r="BF42" s="35"/>
    </row>
    <row r="43" spans="2:58" s="92" customFormat="1" ht="18" customHeight="1" x14ac:dyDescent="0.3">
      <c r="B43" s="164"/>
      <c r="C43" s="38"/>
      <c r="D43" s="165"/>
      <c r="E43" s="165"/>
      <c r="F43" s="165"/>
      <c r="G43" s="165"/>
      <c r="H43" s="38"/>
      <c r="I43" s="38"/>
      <c r="J43" s="463"/>
      <c r="K43" s="463"/>
      <c r="L43" s="463"/>
      <c r="M43" s="463"/>
      <c r="N43" s="463"/>
      <c r="O43" s="463"/>
      <c r="P43" s="463"/>
      <c r="Q43" s="471" t="s">
        <v>239</v>
      </c>
      <c r="R43" s="471" t="s">
        <v>240</v>
      </c>
      <c r="S43" s="163"/>
      <c r="BF43" s="35"/>
    </row>
    <row r="44" spans="2:58" s="92" customFormat="1" ht="18" customHeight="1" thickBot="1" x14ac:dyDescent="0.4">
      <c r="B44" s="464"/>
      <c r="C44" s="465"/>
      <c r="D44" s="466"/>
      <c r="E44" s="466"/>
      <c r="F44" s="472"/>
      <c r="G44" s="472"/>
      <c r="H44" s="472"/>
      <c r="I44" s="472"/>
      <c r="J44" s="472"/>
      <c r="K44" s="831" t="s">
        <v>318</v>
      </c>
      <c r="L44" s="832"/>
      <c r="M44" s="832"/>
      <c r="N44" s="833"/>
      <c r="Q44" s="482">
        <f>SUM(Q38:Q42)</f>
        <v>0</v>
      </c>
      <c r="R44" s="482">
        <f>SUM(R38:R42)</f>
        <v>0</v>
      </c>
      <c r="S44" s="97" t="s">
        <v>644</v>
      </c>
      <c r="T44" s="473"/>
      <c r="U44" s="35"/>
      <c r="BF44" s="35"/>
    </row>
    <row r="45" spans="2:58" s="92" customFormat="1" ht="18" customHeight="1" thickTop="1" x14ac:dyDescent="0.3">
      <c r="B45" s="474"/>
      <c r="C45" s="118"/>
      <c r="D45" s="475"/>
      <c r="E45" s="475"/>
      <c r="F45" s="99"/>
      <c r="G45" s="99"/>
      <c r="H45" s="99"/>
      <c r="I45" s="99"/>
      <c r="J45" s="99"/>
      <c r="K45" s="99"/>
      <c r="L45" s="463"/>
      <c r="M45" s="463"/>
      <c r="N45" s="463"/>
      <c r="O45" s="99"/>
      <c r="P45" s="118"/>
      <c r="Q45" s="471" t="s">
        <v>239</v>
      </c>
      <c r="R45" s="471" t="s">
        <v>240</v>
      </c>
      <c r="T45" s="119"/>
      <c r="BF45" s="35"/>
    </row>
    <row r="46" spans="2:58" s="92" customFormat="1" ht="18" customHeight="1" x14ac:dyDescent="0.35">
      <c r="B46" s="164"/>
      <c r="C46" s="463" t="s">
        <v>330</v>
      </c>
      <c r="D46" s="165"/>
      <c r="E46" s="165"/>
      <c r="F46" s="463"/>
      <c r="G46" s="463"/>
      <c r="H46" s="463"/>
      <c r="I46" s="463"/>
      <c r="J46" s="463"/>
      <c r="K46" s="830" t="s">
        <v>58</v>
      </c>
      <c r="L46" s="806"/>
      <c r="M46" s="806"/>
      <c r="N46" s="805"/>
      <c r="O46" s="476"/>
      <c r="Q46" s="175">
        <f>IF(OR(G55="Invalid Year",ISERROR(G55)),+M28+Q44,+M28+Q44+G55)</f>
        <v>0</v>
      </c>
      <c r="R46" s="175">
        <f>IF(OR(G55="Invalid Year",ISERROR(G55)),+N28+R44,+N28+R44+G56)</f>
        <v>0</v>
      </c>
      <c r="S46" s="476" t="s">
        <v>644</v>
      </c>
      <c r="T46" s="119"/>
      <c r="BF46" s="35"/>
    </row>
    <row r="47" spans="2:58" s="92" customFormat="1" ht="14.4" thickBot="1" x14ac:dyDescent="0.35">
      <c r="B47" s="169"/>
      <c r="C47" s="97"/>
      <c r="D47" s="97"/>
      <c r="E47" s="97"/>
      <c r="F47" s="97"/>
      <c r="G47" s="97"/>
      <c r="H47" s="97"/>
      <c r="I47" s="97"/>
      <c r="J47" s="97"/>
      <c r="K47" s="97"/>
      <c r="L47" s="97"/>
      <c r="M47" s="97"/>
      <c r="N47" s="97"/>
      <c r="O47" s="97"/>
      <c r="P47" s="97"/>
      <c r="Q47" s="97"/>
      <c r="R47" s="97"/>
      <c r="S47" s="111"/>
      <c r="T47" s="119"/>
      <c r="BF47" s="35"/>
    </row>
    <row r="48" spans="2:58" s="92" customFormat="1" ht="20.25" customHeight="1" thickTop="1" x14ac:dyDescent="0.35">
      <c r="B48" s="316"/>
      <c r="C48" s="99" t="s">
        <v>648</v>
      </c>
      <c r="D48" s="101"/>
      <c r="E48" s="101"/>
      <c r="F48" s="101"/>
      <c r="G48" s="118"/>
      <c r="H48" s="118"/>
      <c r="I48" s="118"/>
      <c r="J48" s="118"/>
      <c r="K48" s="118"/>
      <c r="L48" s="118"/>
      <c r="M48" s="118"/>
      <c r="N48" s="118"/>
      <c r="O48" s="118"/>
      <c r="P48" s="35"/>
      <c r="Q48" s="35"/>
      <c r="R48" s="35"/>
      <c r="BF48" s="35"/>
    </row>
    <row r="49" spans="2:58" s="92" customFormat="1" ht="115.5" customHeight="1" x14ac:dyDescent="0.3">
      <c r="B49" s="119"/>
      <c r="C49" s="763" t="s">
        <v>649</v>
      </c>
      <c r="D49" s="825"/>
      <c r="E49" s="825"/>
      <c r="F49" s="825"/>
      <c r="G49" s="825"/>
      <c r="H49" s="825"/>
      <c r="I49" s="825"/>
      <c r="J49" s="825"/>
      <c r="K49" s="825"/>
      <c r="L49" s="825"/>
      <c r="M49" s="35"/>
      <c r="N49" s="35"/>
      <c r="O49" s="35"/>
      <c r="P49" s="35"/>
      <c r="Q49" s="35"/>
      <c r="R49" s="35"/>
      <c r="BF49" s="35"/>
    </row>
    <row r="50" spans="2:58" s="92" customFormat="1" ht="69" customHeight="1" x14ac:dyDescent="0.3">
      <c r="B50" s="119"/>
      <c r="C50" s="146" t="s">
        <v>25</v>
      </c>
      <c r="D50" s="147" t="s">
        <v>24</v>
      </c>
      <c r="E50" s="488" t="s">
        <v>357</v>
      </c>
      <c r="F50" s="93"/>
      <c r="G50" s="93"/>
      <c r="H50" s="112"/>
      <c r="I50" s="112"/>
      <c r="J50" s="112"/>
      <c r="K50" s="112"/>
      <c r="L50" s="112"/>
      <c r="M50" s="35"/>
      <c r="N50" s="35"/>
      <c r="O50" s="35"/>
      <c r="P50" s="35"/>
      <c r="Q50" s="35"/>
      <c r="R50" s="35"/>
      <c r="BF50" s="35"/>
    </row>
    <row r="51" spans="2:58" s="92" customFormat="1" ht="21.75" customHeight="1" x14ac:dyDescent="0.3">
      <c r="B51" s="119"/>
      <c r="C51" s="477"/>
      <c r="D51" s="478"/>
      <c r="E51" s="489"/>
      <c r="F51" s="93"/>
      <c r="G51" s="93"/>
      <c r="H51" s="112"/>
      <c r="I51" s="112"/>
      <c r="J51" s="112"/>
      <c r="K51" s="112"/>
      <c r="L51" s="112"/>
      <c r="M51" s="35"/>
      <c r="N51" s="35"/>
      <c r="O51" s="35"/>
      <c r="P51" s="35"/>
      <c r="Q51" s="35"/>
      <c r="R51" s="35"/>
      <c r="BF51" s="35"/>
    </row>
    <row r="52" spans="2:58" s="92" customFormat="1" ht="21.75" customHeight="1" x14ac:dyDescent="0.3">
      <c r="B52" s="119"/>
      <c r="C52" s="486" t="s">
        <v>509</v>
      </c>
      <c r="D52" s="112"/>
      <c r="E52" s="112"/>
      <c r="F52" s="112"/>
      <c r="G52" s="490"/>
      <c r="H52" s="112"/>
      <c r="I52" s="112"/>
      <c r="J52" s="112"/>
      <c r="K52" s="112"/>
      <c r="L52" s="112"/>
      <c r="M52" s="35"/>
      <c r="N52" s="35"/>
      <c r="O52" s="35"/>
      <c r="P52" s="35"/>
      <c r="Q52" s="35"/>
      <c r="R52" s="35"/>
      <c r="BF52" s="35"/>
    </row>
    <row r="53" spans="2:58" s="92" customFormat="1" ht="21.75" customHeight="1" x14ac:dyDescent="0.3">
      <c r="B53" s="119"/>
      <c r="C53" s="486" t="s">
        <v>508</v>
      </c>
      <c r="D53" s="112"/>
      <c r="E53" s="112"/>
      <c r="F53" s="112"/>
      <c r="G53" s="490"/>
      <c r="H53" s="112"/>
      <c r="I53" s="112"/>
      <c r="J53" s="112"/>
      <c r="K53" s="112"/>
      <c r="L53" s="112"/>
      <c r="M53" s="35"/>
      <c r="N53" s="35"/>
      <c r="O53" s="35"/>
      <c r="P53" s="35"/>
      <c r="Q53" s="35"/>
      <c r="R53" s="35"/>
      <c r="BF53" s="35"/>
    </row>
    <row r="54" spans="2:58" s="92" customFormat="1" ht="21.75" customHeight="1" x14ac:dyDescent="0.3">
      <c r="B54" s="119"/>
      <c r="C54" s="487" t="s">
        <v>512</v>
      </c>
      <c r="D54" s="219"/>
      <c r="E54" s="93"/>
      <c r="F54" s="93"/>
      <c r="G54" s="490"/>
      <c r="H54" s="112"/>
      <c r="I54" s="112"/>
      <c r="J54" s="112"/>
      <c r="K54" s="112"/>
      <c r="L54" s="112"/>
      <c r="M54" s="35"/>
      <c r="N54" s="35"/>
      <c r="O54" s="35"/>
      <c r="P54" s="35"/>
      <c r="Q54" s="35"/>
      <c r="R54" s="35"/>
      <c r="BF54" s="35"/>
    </row>
    <row r="55" spans="2:58" s="92" customFormat="1" ht="18" customHeight="1" x14ac:dyDescent="0.4">
      <c r="B55" s="119"/>
      <c r="C55" s="845" t="s">
        <v>650</v>
      </c>
      <c r="D55" s="846"/>
      <c r="E55" s="797"/>
      <c r="F55" s="93"/>
      <c r="G55" s="747">
        <f>IF(G54&gt;=G52,IF(ISERROR(LOOKUP(G54,H57:BE57,H59:BE59)),0,E51*LOOKUP(G54,H57:BE57,H59:BE59)),"Invalid Year")</f>
        <v>0</v>
      </c>
      <c r="H55" s="35" t="s">
        <v>644</v>
      </c>
      <c r="I55" s="35"/>
      <c r="J55" s="35"/>
      <c r="K55" s="35"/>
      <c r="L55" s="35"/>
      <c r="M55" s="35"/>
      <c r="N55" s="35"/>
      <c r="O55" s="35"/>
      <c r="P55" s="35"/>
      <c r="Q55" s="35"/>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row>
    <row r="56" spans="2:58" s="92" customFormat="1" ht="21.75" customHeight="1" x14ac:dyDescent="0.4">
      <c r="B56" s="119"/>
      <c r="C56" s="845" t="s">
        <v>651</v>
      </c>
      <c r="D56" s="846"/>
      <c r="E56" s="797"/>
      <c r="F56" s="112"/>
      <c r="G56" s="747">
        <f>IF(G54&gt;=G52,IF(ISERROR(LOOKUP(G54,H57:BE57,H59:BE59)),0,(1-E51)*LOOKUP(G54,H57:BE57,H59:BE59)),"Invalid Year")</f>
        <v>0</v>
      </c>
      <c r="H56" s="35" t="s">
        <v>644</v>
      </c>
      <c r="I56" s="112"/>
      <c r="J56" s="112"/>
      <c r="K56" s="112"/>
      <c r="L56" s="112"/>
      <c r="M56" s="35"/>
      <c r="N56" s="35"/>
      <c r="O56" s="35"/>
      <c r="P56" s="35"/>
      <c r="Q56" s="35"/>
      <c r="R56" s="35"/>
      <c r="BF56" s="35"/>
    </row>
    <row r="57" spans="2:58" s="491" customFormat="1" ht="48.75" customHeight="1" x14ac:dyDescent="0.3">
      <c r="B57" s="492"/>
      <c r="C57" s="493"/>
      <c r="D57" s="35"/>
      <c r="E57" s="35"/>
      <c r="F57" s="35"/>
      <c r="G57" s="498" t="s">
        <v>323</v>
      </c>
      <c r="H57" s="494" t="str">
        <f>+IF(G52="","",G52)</f>
        <v/>
      </c>
      <c r="I57" s="494" t="str">
        <f>+IF(ISERROR(AND(H57+1&gt;$G53,H57+1&gt;$G54)),"",IF((AND(H57+1&gt;$G53,H57+1&gt;$G54)),"",H57+1))</f>
        <v/>
      </c>
      <c r="J57" s="494" t="str">
        <f t="shared" ref="J57:BE57" si="0">+IF(ISERROR(AND(I57+1&gt;$G53,I57+1&gt;$G54)),"",IF((AND(I57+1&gt;$G53,I57+1&gt;$G54)),"",I57+1))</f>
        <v/>
      </c>
      <c r="K57" s="494" t="str">
        <f t="shared" si="0"/>
        <v/>
      </c>
      <c r="L57" s="494" t="str">
        <f t="shared" si="0"/>
        <v/>
      </c>
      <c r="M57" s="494" t="str">
        <f t="shared" si="0"/>
        <v/>
      </c>
      <c r="N57" s="494" t="str">
        <f t="shared" si="0"/>
        <v/>
      </c>
      <c r="O57" s="494" t="str">
        <f t="shared" si="0"/>
        <v/>
      </c>
      <c r="P57" s="494" t="str">
        <f t="shared" si="0"/>
        <v/>
      </c>
      <c r="Q57" s="494" t="str">
        <f t="shared" si="0"/>
        <v/>
      </c>
      <c r="R57" s="494" t="str">
        <f t="shared" si="0"/>
        <v/>
      </c>
      <c r="S57" s="494" t="str">
        <f t="shared" si="0"/>
        <v/>
      </c>
      <c r="T57" s="494" t="str">
        <f t="shared" si="0"/>
        <v/>
      </c>
      <c r="U57" s="494" t="str">
        <f t="shared" si="0"/>
        <v/>
      </c>
      <c r="V57" s="494" t="str">
        <f t="shared" si="0"/>
        <v/>
      </c>
      <c r="W57" s="494" t="str">
        <f t="shared" si="0"/>
        <v/>
      </c>
      <c r="X57" s="494" t="str">
        <f t="shared" si="0"/>
        <v/>
      </c>
      <c r="Y57" s="494" t="str">
        <f t="shared" si="0"/>
        <v/>
      </c>
      <c r="Z57" s="494" t="str">
        <f t="shared" si="0"/>
        <v/>
      </c>
      <c r="AA57" s="494" t="str">
        <f t="shared" si="0"/>
        <v/>
      </c>
      <c r="AB57" s="494" t="str">
        <f t="shared" si="0"/>
        <v/>
      </c>
      <c r="AC57" s="494" t="str">
        <f t="shared" si="0"/>
        <v/>
      </c>
      <c r="AD57" s="494" t="str">
        <f t="shared" si="0"/>
        <v/>
      </c>
      <c r="AE57" s="494" t="str">
        <f t="shared" si="0"/>
        <v/>
      </c>
      <c r="AF57" s="494" t="str">
        <f t="shared" si="0"/>
        <v/>
      </c>
      <c r="AG57" s="494" t="str">
        <f t="shared" si="0"/>
        <v/>
      </c>
      <c r="AH57" s="494" t="str">
        <f t="shared" si="0"/>
        <v/>
      </c>
      <c r="AI57" s="494" t="str">
        <f t="shared" si="0"/>
        <v/>
      </c>
      <c r="AJ57" s="494" t="str">
        <f t="shared" si="0"/>
        <v/>
      </c>
      <c r="AK57" s="494" t="str">
        <f t="shared" si="0"/>
        <v/>
      </c>
      <c r="AL57" s="494" t="str">
        <f t="shared" si="0"/>
        <v/>
      </c>
      <c r="AM57" s="494" t="str">
        <f t="shared" si="0"/>
        <v/>
      </c>
      <c r="AN57" s="494" t="str">
        <f t="shared" si="0"/>
        <v/>
      </c>
      <c r="AO57" s="494" t="str">
        <f t="shared" si="0"/>
        <v/>
      </c>
      <c r="AP57" s="494" t="str">
        <f t="shared" si="0"/>
        <v/>
      </c>
      <c r="AQ57" s="494" t="str">
        <f t="shared" si="0"/>
        <v/>
      </c>
      <c r="AR57" s="494" t="str">
        <f t="shared" si="0"/>
        <v/>
      </c>
      <c r="AS57" s="494" t="str">
        <f t="shared" si="0"/>
        <v/>
      </c>
      <c r="AT57" s="494" t="str">
        <f t="shared" si="0"/>
        <v/>
      </c>
      <c r="AU57" s="494" t="str">
        <f t="shared" si="0"/>
        <v/>
      </c>
      <c r="AV57" s="494" t="str">
        <f t="shared" si="0"/>
        <v/>
      </c>
      <c r="AW57" s="494" t="str">
        <f t="shared" si="0"/>
        <v/>
      </c>
      <c r="AX57" s="494" t="str">
        <f t="shared" si="0"/>
        <v/>
      </c>
      <c r="AY57" s="494" t="str">
        <f t="shared" si="0"/>
        <v/>
      </c>
      <c r="AZ57" s="494" t="str">
        <f t="shared" si="0"/>
        <v/>
      </c>
      <c r="BA57" s="494" t="str">
        <f t="shared" si="0"/>
        <v/>
      </c>
      <c r="BB57" s="494" t="str">
        <f t="shared" si="0"/>
        <v/>
      </c>
      <c r="BC57" s="494" t="str">
        <f t="shared" si="0"/>
        <v/>
      </c>
      <c r="BD57" s="494" t="str">
        <f t="shared" si="0"/>
        <v/>
      </c>
      <c r="BE57" s="494" t="str">
        <f t="shared" si="0"/>
        <v/>
      </c>
      <c r="BF57" s="38"/>
    </row>
    <row r="58" spans="2:58" s="92" customFormat="1" ht="42.6" x14ac:dyDescent="0.3">
      <c r="B58" s="119"/>
      <c r="C58" s="35"/>
      <c r="D58" s="35"/>
      <c r="E58" s="35"/>
      <c r="F58" s="35"/>
      <c r="G58" s="499" t="s">
        <v>652</v>
      </c>
      <c r="H58" s="497">
        <f t="shared" ref="H58:AM58" si="1">IF(ISERROR(H59*GWP_CH4),"",H59*GWP_CH4)</f>
        <v>0</v>
      </c>
      <c r="I58" s="497">
        <f t="shared" si="1"/>
        <v>0</v>
      </c>
      <c r="J58" s="497">
        <f t="shared" si="1"/>
        <v>0</v>
      </c>
      <c r="K58" s="497">
        <f t="shared" si="1"/>
        <v>0</v>
      </c>
      <c r="L58" s="497">
        <f t="shared" si="1"/>
        <v>0</v>
      </c>
      <c r="M58" s="497">
        <f t="shared" si="1"/>
        <v>0</v>
      </c>
      <c r="N58" s="497">
        <f t="shared" si="1"/>
        <v>0</v>
      </c>
      <c r="O58" s="497">
        <f t="shared" si="1"/>
        <v>0</v>
      </c>
      <c r="P58" s="497">
        <f t="shared" si="1"/>
        <v>0</v>
      </c>
      <c r="Q58" s="497">
        <f t="shared" si="1"/>
        <v>0</v>
      </c>
      <c r="R58" s="497">
        <f t="shared" si="1"/>
        <v>0</v>
      </c>
      <c r="S58" s="497">
        <f t="shared" si="1"/>
        <v>0</v>
      </c>
      <c r="T58" s="497">
        <f t="shared" si="1"/>
        <v>0</v>
      </c>
      <c r="U58" s="497">
        <f t="shared" si="1"/>
        <v>0</v>
      </c>
      <c r="V58" s="497">
        <f t="shared" si="1"/>
        <v>0</v>
      </c>
      <c r="W58" s="497">
        <f t="shared" si="1"/>
        <v>0</v>
      </c>
      <c r="X58" s="497">
        <f t="shared" si="1"/>
        <v>0</v>
      </c>
      <c r="Y58" s="497">
        <f t="shared" si="1"/>
        <v>0</v>
      </c>
      <c r="Z58" s="497">
        <f t="shared" si="1"/>
        <v>0</v>
      </c>
      <c r="AA58" s="497">
        <f t="shared" si="1"/>
        <v>0</v>
      </c>
      <c r="AB58" s="497">
        <f t="shared" si="1"/>
        <v>0</v>
      </c>
      <c r="AC58" s="497">
        <f t="shared" si="1"/>
        <v>0</v>
      </c>
      <c r="AD58" s="497">
        <f t="shared" si="1"/>
        <v>0</v>
      </c>
      <c r="AE58" s="497">
        <f t="shared" si="1"/>
        <v>0</v>
      </c>
      <c r="AF58" s="497">
        <f t="shared" si="1"/>
        <v>0</v>
      </c>
      <c r="AG58" s="497">
        <f t="shared" si="1"/>
        <v>0</v>
      </c>
      <c r="AH58" s="497">
        <f t="shared" si="1"/>
        <v>0</v>
      </c>
      <c r="AI58" s="497">
        <f t="shared" si="1"/>
        <v>0</v>
      </c>
      <c r="AJ58" s="497">
        <f t="shared" si="1"/>
        <v>0</v>
      </c>
      <c r="AK58" s="497">
        <f t="shared" si="1"/>
        <v>0</v>
      </c>
      <c r="AL58" s="497">
        <f t="shared" si="1"/>
        <v>0</v>
      </c>
      <c r="AM58" s="497">
        <f t="shared" si="1"/>
        <v>0</v>
      </c>
      <c r="AN58" s="497">
        <f t="shared" ref="AN58:BE58" si="2">IF(ISERROR(AN59*GWP_CH4),"",AN59*GWP_CH4)</f>
        <v>0</v>
      </c>
      <c r="AO58" s="497">
        <f t="shared" si="2"/>
        <v>0</v>
      </c>
      <c r="AP58" s="497">
        <f t="shared" si="2"/>
        <v>0</v>
      </c>
      <c r="AQ58" s="497">
        <f t="shared" si="2"/>
        <v>0</v>
      </c>
      <c r="AR58" s="497">
        <f t="shared" si="2"/>
        <v>0</v>
      </c>
      <c r="AS58" s="497">
        <f t="shared" si="2"/>
        <v>0</v>
      </c>
      <c r="AT58" s="497">
        <f t="shared" si="2"/>
        <v>0</v>
      </c>
      <c r="AU58" s="497">
        <f t="shared" si="2"/>
        <v>0</v>
      </c>
      <c r="AV58" s="497">
        <f t="shared" si="2"/>
        <v>0</v>
      </c>
      <c r="AW58" s="497">
        <f t="shared" si="2"/>
        <v>0</v>
      </c>
      <c r="AX58" s="497">
        <f t="shared" si="2"/>
        <v>0</v>
      </c>
      <c r="AY58" s="497">
        <f t="shared" si="2"/>
        <v>0</v>
      </c>
      <c r="AZ58" s="497">
        <f t="shared" si="2"/>
        <v>0</v>
      </c>
      <c r="BA58" s="497">
        <f t="shared" si="2"/>
        <v>0</v>
      </c>
      <c r="BB58" s="497">
        <f t="shared" si="2"/>
        <v>0</v>
      </c>
      <c r="BC58" s="497">
        <f t="shared" si="2"/>
        <v>0</v>
      </c>
      <c r="BD58" s="497">
        <f t="shared" si="2"/>
        <v>0</v>
      </c>
      <c r="BE58" s="497">
        <f t="shared" si="2"/>
        <v>0</v>
      </c>
      <c r="BF58" s="38"/>
    </row>
    <row r="59" spans="2:58" s="92" customFormat="1" ht="55.5" customHeight="1" x14ac:dyDescent="0.3">
      <c r="B59" s="119"/>
      <c r="C59" s="35"/>
      <c r="D59" s="35"/>
      <c r="E59" s="35"/>
      <c r="F59" s="35"/>
      <c r="G59" s="499" t="s">
        <v>32</v>
      </c>
      <c r="H59" s="497">
        <f>IF(ISERROR(H60*0.0007167),"",H60*0.0007167)</f>
        <v>0</v>
      </c>
      <c r="I59" s="497">
        <f t="shared" ref="I59:BE59" si="3">IF(ISERROR(I60*0.0007167),"",I60*0.0007167)</f>
        <v>0</v>
      </c>
      <c r="J59" s="497">
        <f t="shared" si="3"/>
        <v>0</v>
      </c>
      <c r="K59" s="497">
        <f t="shared" si="3"/>
        <v>0</v>
      </c>
      <c r="L59" s="497">
        <f t="shared" si="3"/>
        <v>0</v>
      </c>
      <c r="M59" s="497">
        <f t="shared" si="3"/>
        <v>0</v>
      </c>
      <c r="N59" s="497">
        <f t="shared" si="3"/>
        <v>0</v>
      </c>
      <c r="O59" s="497">
        <f t="shared" si="3"/>
        <v>0</v>
      </c>
      <c r="P59" s="497">
        <f t="shared" si="3"/>
        <v>0</v>
      </c>
      <c r="Q59" s="497">
        <f t="shared" si="3"/>
        <v>0</v>
      </c>
      <c r="R59" s="497">
        <f t="shared" si="3"/>
        <v>0</v>
      </c>
      <c r="S59" s="497">
        <f t="shared" si="3"/>
        <v>0</v>
      </c>
      <c r="T59" s="497">
        <f t="shared" si="3"/>
        <v>0</v>
      </c>
      <c r="U59" s="497">
        <f t="shared" si="3"/>
        <v>0</v>
      </c>
      <c r="V59" s="497">
        <f t="shared" si="3"/>
        <v>0</v>
      </c>
      <c r="W59" s="497">
        <f t="shared" si="3"/>
        <v>0</v>
      </c>
      <c r="X59" s="497">
        <f t="shared" si="3"/>
        <v>0</v>
      </c>
      <c r="Y59" s="497">
        <f t="shared" si="3"/>
        <v>0</v>
      </c>
      <c r="Z59" s="497">
        <f t="shared" si="3"/>
        <v>0</v>
      </c>
      <c r="AA59" s="497">
        <f t="shared" si="3"/>
        <v>0</v>
      </c>
      <c r="AB59" s="497">
        <f t="shared" si="3"/>
        <v>0</v>
      </c>
      <c r="AC59" s="497">
        <f t="shared" si="3"/>
        <v>0</v>
      </c>
      <c r="AD59" s="497">
        <f t="shared" si="3"/>
        <v>0</v>
      </c>
      <c r="AE59" s="497">
        <f t="shared" si="3"/>
        <v>0</v>
      </c>
      <c r="AF59" s="497">
        <f t="shared" si="3"/>
        <v>0</v>
      </c>
      <c r="AG59" s="497">
        <f t="shared" si="3"/>
        <v>0</v>
      </c>
      <c r="AH59" s="497">
        <f t="shared" si="3"/>
        <v>0</v>
      </c>
      <c r="AI59" s="497">
        <f t="shared" si="3"/>
        <v>0</v>
      </c>
      <c r="AJ59" s="497">
        <f t="shared" si="3"/>
        <v>0</v>
      </c>
      <c r="AK59" s="497">
        <f t="shared" si="3"/>
        <v>0</v>
      </c>
      <c r="AL59" s="497">
        <f t="shared" si="3"/>
        <v>0</v>
      </c>
      <c r="AM59" s="497">
        <f t="shared" si="3"/>
        <v>0</v>
      </c>
      <c r="AN59" s="497">
        <f t="shared" si="3"/>
        <v>0</v>
      </c>
      <c r="AO59" s="497">
        <f t="shared" si="3"/>
        <v>0</v>
      </c>
      <c r="AP59" s="497">
        <f t="shared" si="3"/>
        <v>0</v>
      </c>
      <c r="AQ59" s="497">
        <f t="shared" si="3"/>
        <v>0</v>
      </c>
      <c r="AR59" s="497">
        <f t="shared" si="3"/>
        <v>0</v>
      </c>
      <c r="AS59" s="497">
        <f t="shared" si="3"/>
        <v>0</v>
      </c>
      <c r="AT59" s="497">
        <f t="shared" si="3"/>
        <v>0</v>
      </c>
      <c r="AU59" s="497">
        <f t="shared" si="3"/>
        <v>0</v>
      </c>
      <c r="AV59" s="497">
        <f t="shared" si="3"/>
        <v>0</v>
      </c>
      <c r="AW59" s="497">
        <f t="shared" si="3"/>
        <v>0</v>
      </c>
      <c r="AX59" s="497">
        <f t="shared" si="3"/>
        <v>0</v>
      </c>
      <c r="AY59" s="497">
        <f t="shared" si="3"/>
        <v>0</v>
      </c>
      <c r="AZ59" s="497">
        <f t="shared" si="3"/>
        <v>0</v>
      </c>
      <c r="BA59" s="497">
        <f t="shared" si="3"/>
        <v>0</v>
      </c>
      <c r="BB59" s="497">
        <f t="shared" si="3"/>
        <v>0</v>
      </c>
      <c r="BC59" s="497">
        <f t="shared" si="3"/>
        <v>0</v>
      </c>
      <c r="BD59" s="497">
        <f t="shared" si="3"/>
        <v>0</v>
      </c>
      <c r="BE59" s="497">
        <f t="shared" si="3"/>
        <v>0</v>
      </c>
      <c r="BF59" s="38"/>
    </row>
    <row r="60" spans="2:58" s="92" customFormat="1" ht="40.200000000000003" customHeight="1" x14ac:dyDescent="0.3">
      <c r="B60" s="119"/>
      <c r="C60" s="35"/>
      <c r="D60" s="35"/>
      <c r="E60" s="35"/>
      <c r="F60" s="35"/>
      <c r="G60" s="499" t="s">
        <v>52</v>
      </c>
      <c r="H60" s="497">
        <f>IF(ISERROR(H61*((1-H63)*(1-H62)+(H63*(1-H64)))),"",H61*((1-H63)*(1-H62)+(H63*(1-H64))))</f>
        <v>0</v>
      </c>
      <c r="I60" s="497">
        <f t="shared" ref="I60:BE60" si="4">IF(ISERROR(I61*((1-I63)*(1-I62)+(I63*(1-I64)))),"",I61*((1-I63)*(1-I62)+(I63*(1-I64))))</f>
        <v>0</v>
      </c>
      <c r="J60" s="497">
        <f t="shared" si="4"/>
        <v>0</v>
      </c>
      <c r="K60" s="497">
        <f t="shared" si="4"/>
        <v>0</v>
      </c>
      <c r="L60" s="497">
        <f t="shared" si="4"/>
        <v>0</v>
      </c>
      <c r="M60" s="497">
        <f t="shared" si="4"/>
        <v>0</v>
      </c>
      <c r="N60" s="497">
        <f t="shared" si="4"/>
        <v>0</v>
      </c>
      <c r="O60" s="497">
        <f t="shared" si="4"/>
        <v>0</v>
      </c>
      <c r="P60" s="497">
        <f t="shared" si="4"/>
        <v>0</v>
      </c>
      <c r="Q60" s="497">
        <f t="shared" si="4"/>
        <v>0</v>
      </c>
      <c r="R60" s="497">
        <f t="shared" si="4"/>
        <v>0</v>
      </c>
      <c r="S60" s="497">
        <f t="shared" si="4"/>
        <v>0</v>
      </c>
      <c r="T60" s="497">
        <f t="shared" si="4"/>
        <v>0</v>
      </c>
      <c r="U60" s="497">
        <f t="shared" si="4"/>
        <v>0</v>
      </c>
      <c r="V60" s="497">
        <f t="shared" si="4"/>
        <v>0</v>
      </c>
      <c r="W60" s="497">
        <f t="shared" si="4"/>
        <v>0</v>
      </c>
      <c r="X60" s="497">
        <f t="shared" si="4"/>
        <v>0</v>
      </c>
      <c r="Y60" s="497">
        <f t="shared" si="4"/>
        <v>0</v>
      </c>
      <c r="Z60" s="497">
        <f t="shared" si="4"/>
        <v>0</v>
      </c>
      <c r="AA60" s="497">
        <f t="shared" si="4"/>
        <v>0</v>
      </c>
      <c r="AB60" s="497">
        <f t="shared" si="4"/>
        <v>0</v>
      </c>
      <c r="AC60" s="497">
        <f t="shared" si="4"/>
        <v>0</v>
      </c>
      <c r="AD60" s="497">
        <f t="shared" si="4"/>
        <v>0</v>
      </c>
      <c r="AE60" s="497">
        <f t="shared" si="4"/>
        <v>0</v>
      </c>
      <c r="AF60" s="497">
        <f t="shared" si="4"/>
        <v>0</v>
      </c>
      <c r="AG60" s="497">
        <f t="shared" si="4"/>
        <v>0</v>
      </c>
      <c r="AH60" s="497">
        <f t="shared" si="4"/>
        <v>0</v>
      </c>
      <c r="AI60" s="497">
        <f t="shared" si="4"/>
        <v>0</v>
      </c>
      <c r="AJ60" s="497">
        <f>IF(ISERROR(AJ61*((1-AJ63)*(1-AJ62)+(AJ63*(1-AJ64)))),"",AJ61*((1-AJ63)*(1-AJ62)+(AJ63*(1-AJ64))))</f>
        <v>0</v>
      </c>
      <c r="AK60" s="497">
        <f t="shared" si="4"/>
        <v>0</v>
      </c>
      <c r="AL60" s="497">
        <f t="shared" si="4"/>
        <v>0</v>
      </c>
      <c r="AM60" s="497">
        <f t="shared" si="4"/>
        <v>0</v>
      </c>
      <c r="AN60" s="497">
        <f t="shared" si="4"/>
        <v>0</v>
      </c>
      <c r="AO60" s="497">
        <f t="shared" si="4"/>
        <v>0</v>
      </c>
      <c r="AP60" s="497">
        <f t="shared" si="4"/>
        <v>0</v>
      </c>
      <c r="AQ60" s="497">
        <f t="shared" si="4"/>
        <v>0</v>
      </c>
      <c r="AR60" s="497">
        <f t="shared" si="4"/>
        <v>0</v>
      </c>
      <c r="AS60" s="497">
        <f t="shared" si="4"/>
        <v>0</v>
      </c>
      <c r="AT60" s="497">
        <f t="shared" si="4"/>
        <v>0</v>
      </c>
      <c r="AU60" s="497">
        <f t="shared" si="4"/>
        <v>0</v>
      </c>
      <c r="AV60" s="497">
        <f t="shared" si="4"/>
        <v>0</v>
      </c>
      <c r="AW60" s="497">
        <f t="shared" si="4"/>
        <v>0</v>
      </c>
      <c r="AX60" s="497">
        <f t="shared" si="4"/>
        <v>0</v>
      </c>
      <c r="AY60" s="497">
        <f t="shared" si="4"/>
        <v>0</v>
      </c>
      <c r="AZ60" s="497">
        <f t="shared" si="4"/>
        <v>0</v>
      </c>
      <c r="BA60" s="497">
        <f t="shared" si="4"/>
        <v>0</v>
      </c>
      <c r="BB60" s="497">
        <f t="shared" si="4"/>
        <v>0</v>
      </c>
      <c r="BC60" s="497">
        <f t="shared" si="4"/>
        <v>0</v>
      </c>
      <c r="BD60" s="497">
        <f t="shared" si="4"/>
        <v>0</v>
      </c>
      <c r="BE60" s="497">
        <f t="shared" si="4"/>
        <v>0</v>
      </c>
      <c r="BF60" s="38"/>
    </row>
    <row r="61" spans="2:58" s="92" customFormat="1" ht="55.2" x14ac:dyDescent="0.3">
      <c r="B61" s="119"/>
      <c r="C61" s="35"/>
      <c r="D61" s="35"/>
      <c r="E61" s="35"/>
      <c r="F61" s="35"/>
      <c r="G61" s="207" t="s">
        <v>49</v>
      </c>
      <c r="H61" s="497">
        <f>IF(ISERROR(SUM(H$65:H$114)),"",SUM(H$65:H$114))</f>
        <v>0</v>
      </c>
      <c r="I61" s="497">
        <f t="shared" ref="I61:BE61" si="5">IF(ISERROR(SUM(I$65:I$114)),"",SUM(I$65:I$114))</f>
        <v>0</v>
      </c>
      <c r="J61" s="497">
        <f t="shared" si="5"/>
        <v>0</v>
      </c>
      <c r="K61" s="497">
        <f t="shared" si="5"/>
        <v>0</v>
      </c>
      <c r="L61" s="497">
        <f t="shared" si="5"/>
        <v>0</v>
      </c>
      <c r="M61" s="497">
        <f t="shared" si="5"/>
        <v>0</v>
      </c>
      <c r="N61" s="497">
        <f t="shared" si="5"/>
        <v>0</v>
      </c>
      <c r="O61" s="497">
        <f t="shared" si="5"/>
        <v>0</v>
      </c>
      <c r="P61" s="497">
        <f t="shared" si="5"/>
        <v>0</v>
      </c>
      <c r="Q61" s="497">
        <f t="shared" si="5"/>
        <v>0</v>
      </c>
      <c r="R61" s="497">
        <f t="shared" si="5"/>
        <v>0</v>
      </c>
      <c r="S61" s="497">
        <f t="shared" si="5"/>
        <v>0</v>
      </c>
      <c r="T61" s="497">
        <f t="shared" si="5"/>
        <v>0</v>
      </c>
      <c r="U61" s="497">
        <f t="shared" si="5"/>
        <v>0</v>
      </c>
      <c r="V61" s="497">
        <f t="shared" si="5"/>
        <v>0</v>
      </c>
      <c r="W61" s="497">
        <f t="shared" si="5"/>
        <v>0</v>
      </c>
      <c r="X61" s="497">
        <f t="shared" si="5"/>
        <v>0</v>
      </c>
      <c r="Y61" s="497">
        <f t="shared" si="5"/>
        <v>0</v>
      </c>
      <c r="Z61" s="497">
        <f t="shared" si="5"/>
        <v>0</v>
      </c>
      <c r="AA61" s="497">
        <f t="shared" si="5"/>
        <v>0</v>
      </c>
      <c r="AB61" s="497">
        <f t="shared" si="5"/>
        <v>0</v>
      </c>
      <c r="AC61" s="497">
        <f t="shared" si="5"/>
        <v>0</v>
      </c>
      <c r="AD61" s="497">
        <f t="shared" si="5"/>
        <v>0</v>
      </c>
      <c r="AE61" s="497">
        <f t="shared" si="5"/>
        <v>0</v>
      </c>
      <c r="AF61" s="497">
        <f t="shared" si="5"/>
        <v>0</v>
      </c>
      <c r="AG61" s="497">
        <f t="shared" si="5"/>
        <v>0</v>
      </c>
      <c r="AH61" s="497">
        <f t="shared" si="5"/>
        <v>0</v>
      </c>
      <c r="AI61" s="497">
        <f t="shared" si="5"/>
        <v>0</v>
      </c>
      <c r="AJ61" s="497">
        <f t="shared" si="5"/>
        <v>0</v>
      </c>
      <c r="AK61" s="497">
        <f t="shared" si="5"/>
        <v>0</v>
      </c>
      <c r="AL61" s="497">
        <f t="shared" si="5"/>
        <v>0</v>
      </c>
      <c r="AM61" s="497">
        <f t="shared" si="5"/>
        <v>0</v>
      </c>
      <c r="AN61" s="497">
        <f t="shared" si="5"/>
        <v>0</v>
      </c>
      <c r="AO61" s="497">
        <f t="shared" si="5"/>
        <v>0</v>
      </c>
      <c r="AP61" s="497">
        <f t="shared" si="5"/>
        <v>0</v>
      </c>
      <c r="AQ61" s="497">
        <f t="shared" si="5"/>
        <v>0</v>
      </c>
      <c r="AR61" s="497">
        <f t="shared" si="5"/>
        <v>0</v>
      </c>
      <c r="AS61" s="497">
        <f t="shared" si="5"/>
        <v>0</v>
      </c>
      <c r="AT61" s="497">
        <f t="shared" si="5"/>
        <v>0</v>
      </c>
      <c r="AU61" s="497">
        <f t="shared" si="5"/>
        <v>0</v>
      </c>
      <c r="AV61" s="497">
        <f t="shared" si="5"/>
        <v>0</v>
      </c>
      <c r="AW61" s="497">
        <f t="shared" si="5"/>
        <v>0</v>
      </c>
      <c r="AX61" s="497">
        <f t="shared" si="5"/>
        <v>0</v>
      </c>
      <c r="AY61" s="497">
        <f t="shared" si="5"/>
        <v>0</v>
      </c>
      <c r="AZ61" s="497">
        <f t="shared" si="5"/>
        <v>0</v>
      </c>
      <c r="BA61" s="497">
        <f t="shared" si="5"/>
        <v>0</v>
      </c>
      <c r="BB61" s="497">
        <f t="shared" si="5"/>
        <v>0</v>
      </c>
      <c r="BC61" s="497">
        <f t="shared" si="5"/>
        <v>0</v>
      </c>
      <c r="BD61" s="497">
        <f t="shared" si="5"/>
        <v>0</v>
      </c>
      <c r="BE61" s="497">
        <f t="shared" si="5"/>
        <v>0</v>
      </c>
      <c r="BF61" s="38"/>
    </row>
    <row r="62" spans="2:58" s="92" customFormat="1" ht="70.2" customHeight="1" x14ac:dyDescent="0.3">
      <c r="B62" s="68"/>
      <c r="C62" s="35"/>
      <c r="D62" s="166" t="s">
        <v>23</v>
      </c>
      <c r="E62" s="35"/>
      <c r="F62" s="35"/>
      <c r="G62" s="500" t="s">
        <v>45</v>
      </c>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38"/>
    </row>
    <row r="63" spans="2:58" s="92" customFormat="1" ht="27.6" x14ac:dyDescent="0.3">
      <c r="B63" s="119"/>
      <c r="C63" s="35"/>
      <c r="D63" s="35"/>
      <c r="E63" s="35"/>
      <c r="F63" s="35"/>
      <c r="G63" s="499" t="s">
        <v>94</v>
      </c>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6"/>
      <c r="BB63" s="496"/>
      <c r="BC63" s="496"/>
      <c r="BD63" s="496"/>
      <c r="BE63" s="496"/>
      <c r="BF63" s="38"/>
    </row>
    <row r="64" spans="2:58" s="92" customFormat="1" ht="70.2" x14ac:dyDescent="0.3">
      <c r="B64" s="119"/>
      <c r="C64" s="158" t="s">
        <v>233</v>
      </c>
      <c r="D64" s="158" t="s">
        <v>510</v>
      </c>
      <c r="E64" s="158" t="s">
        <v>638</v>
      </c>
      <c r="F64" s="158" t="s">
        <v>511</v>
      </c>
      <c r="G64" s="501" t="s">
        <v>99</v>
      </c>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38"/>
    </row>
    <row r="65" spans="2:58" s="92" customFormat="1" ht="18.75" customHeight="1" x14ac:dyDescent="0.3">
      <c r="B65" s="119"/>
      <c r="C65" s="502" t="str">
        <f>+IF(H$57&lt;=$G$53,H$57,"")</f>
        <v/>
      </c>
      <c r="D65" s="509"/>
      <c r="E65" s="510"/>
      <c r="F65" s="511"/>
      <c r="G65" s="503"/>
      <c r="H65" s="504"/>
      <c r="I65" s="504" t="str">
        <f>IF(ISERROR($F65*$E65*EXP(-$F65*(I$57-$C65))*$D65),"",$F65*$E65*EXP(-$F65*(I$57-$C65))*$D65)</f>
        <v/>
      </c>
      <c r="J65" s="504" t="str">
        <f>IF(ISERROR($F65*$E65*EXP(-$F65*(J$57-$C65))*$D65),"",$F65*$E65*EXP(-$F65*(J$57-$C65))*$D65)</f>
        <v/>
      </c>
      <c r="K65" s="504" t="str">
        <f>IF(ISERROR($F65*$E65*EXP(-$F65*(K$57-$C65))*$D65),"",$F65*$E65*EXP(-$F65*(K$57-$C65))*$D65)</f>
        <v/>
      </c>
      <c r="L65" s="504" t="str">
        <f t="shared" ref="L65:BE80" si="6">IF(ISERROR($F65*$E65*EXP(-$F65*(L$57-$C65))*$D65),"",$F65*$E65*EXP(-$F65*(L$57-$C65))*$D65)</f>
        <v/>
      </c>
      <c r="M65" s="504" t="str">
        <f t="shared" si="6"/>
        <v/>
      </c>
      <c r="N65" s="504" t="str">
        <f t="shared" si="6"/>
        <v/>
      </c>
      <c r="O65" s="504" t="str">
        <f t="shared" si="6"/>
        <v/>
      </c>
      <c r="P65" s="504" t="str">
        <f t="shared" si="6"/>
        <v/>
      </c>
      <c r="Q65" s="504" t="str">
        <f t="shared" si="6"/>
        <v/>
      </c>
      <c r="R65" s="504" t="str">
        <f t="shared" si="6"/>
        <v/>
      </c>
      <c r="S65" s="504" t="str">
        <f t="shared" si="6"/>
        <v/>
      </c>
      <c r="T65" s="504" t="str">
        <f t="shared" si="6"/>
        <v/>
      </c>
      <c r="U65" s="504" t="str">
        <f t="shared" si="6"/>
        <v/>
      </c>
      <c r="V65" s="504" t="str">
        <f t="shared" si="6"/>
        <v/>
      </c>
      <c r="W65" s="504" t="str">
        <f t="shared" si="6"/>
        <v/>
      </c>
      <c r="X65" s="504" t="str">
        <f t="shared" si="6"/>
        <v/>
      </c>
      <c r="Y65" s="504" t="str">
        <f t="shared" si="6"/>
        <v/>
      </c>
      <c r="Z65" s="504" t="str">
        <f t="shared" si="6"/>
        <v/>
      </c>
      <c r="AA65" s="504" t="str">
        <f t="shared" si="6"/>
        <v/>
      </c>
      <c r="AB65" s="504" t="str">
        <f t="shared" si="6"/>
        <v/>
      </c>
      <c r="AC65" s="504" t="str">
        <f t="shared" si="6"/>
        <v/>
      </c>
      <c r="AD65" s="504" t="str">
        <f t="shared" si="6"/>
        <v/>
      </c>
      <c r="AE65" s="504" t="str">
        <f t="shared" si="6"/>
        <v/>
      </c>
      <c r="AF65" s="504" t="str">
        <f t="shared" si="6"/>
        <v/>
      </c>
      <c r="AG65" s="504" t="str">
        <f t="shared" si="6"/>
        <v/>
      </c>
      <c r="AH65" s="504" t="str">
        <f t="shared" si="6"/>
        <v/>
      </c>
      <c r="AI65" s="504" t="str">
        <f t="shared" si="6"/>
        <v/>
      </c>
      <c r="AJ65" s="504" t="str">
        <f t="shared" si="6"/>
        <v/>
      </c>
      <c r="AK65" s="504" t="str">
        <f t="shared" si="6"/>
        <v/>
      </c>
      <c r="AL65" s="504" t="str">
        <f t="shared" si="6"/>
        <v/>
      </c>
      <c r="AM65" s="504" t="str">
        <f t="shared" si="6"/>
        <v/>
      </c>
      <c r="AN65" s="504" t="str">
        <f t="shared" si="6"/>
        <v/>
      </c>
      <c r="AO65" s="504" t="str">
        <f t="shared" si="6"/>
        <v/>
      </c>
      <c r="AP65" s="504" t="str">
        <f t="shared" si="6"/>
        <v/>
      </c>
      <c r="AQ65" s="504" t="str">
        <f t="shared" si="6"/>
        <v/>
      </c>
      <c r="AR65" s="504" t="str">
        <f t="shared" si="6"/>
        <v/>
      </c>
      <c r="AS65" s="504" t="str">
        <f t="shared" si="6"/>
        <v/>
      </c>
      <c r="AT65" s="504" t="str">
        <f t="shared" si="6"/>
        <v/>
      </c>
      <c r="AU65" s="504" t="str">
        <f t="shared" si="6"/>
        <v/>
      </c>
      <c r="AV65" s="504" t="str">
        <f t="shared" si="6"/>
        <v/>
      </c>
      <c r="AW65" s="504" t="str">
        <f t="shared" si="6"/>
        <v/>
      </c>
      <c r="AX65" s="504" t="str">
        <f t="shared" si="6"/>
        <v/>
      </c>
      <c r="AY65" s="504" t="str">
        <f t="shared" si="6"/>
        <v/>
      </c>
      <c r="AZ65" s="504" t="str">
        <f t="shared" si="6"/>
        <v/>
      </c>
      <c r="BA65" s="504" t="str">
        <f t="shared" si="6"/>
        <v/>
      </c>
      <c r="BB65" s="504" t="str">
        <f t="shared" si="6"/>
        <v/>
      </c>
      <c r="BC65" s="504" t="str">
        <f t="shared" si="6"/>
        <v/>
      </c>
      <c r="BD65" s="504" t="str">
        <f t="shared" si="6"/>
        <v/>
      </c>
      <c r="BE65" s="504" t="str">
        <f t="shared" si="6"/>
        <v/>
      </c>
      <c r="BF65" s="38"/>
    </row>
    <row r="66" spans="2:58" s="92" customFormat="1" ht="18" customHeight="1" x14ac:dyDescent="0.3">
      <c r="B66" s="119"/>
      <c r="C66" s="502" t="str">
        <f>+IF(I$57&lt;=$G$53,I$57,"")</f>
        <v/>
      </c>
      <c r="D66" s="509"/>
      <c r="E66" s="510"/>
      <c r="F66" s="511"/>
      <c r="G66" s="503"/>
      <c r="H66" s="505"/>
      <c r="I66" s="504"/>
      <c r="J66" s="504" t="str">
        <f>IF(ISERROR($F66*$E66*EXP(-$F66*(J$57-$C66))*$D66),"",$F66*$E66*EXP(-$F66*(J$57-$C66))*$D66)</f>
        <v/>
      </c>
      <c r="K66" s="504" t="str">
        <f>IF(ISERROR($F66*$E66*EXP(-$F66*(K$57-$C66))*$D66),"",$F66*$E66*EXP(-$F66*(K$57-$C66))*$D66)</f>
        <v/>
      </c>
      <c r="L66" s="504" t="str">
        <f t="shared" si="6"/>
        <v/>
      </c>
      <c r="M66" s="504" t="str">
        <f t="shared" si="6"/>
        <v/>
      </c>
      <c r="N66" s="504" t="str">
        <f t="shared" si="6"/>
        <v/>
      </c>
      <c r="O66" s="504" t="str">
        <f t="shared" si="6"/>
        <v/>
      </c>
      <c r="P66" s="504" t="str">
        <f t="shared" si="6"/>
        <v/>
      </c>
      <c r="Q66" s="504" t="str">
        <f t="shared" si="6"/>
        <v/>
      </c>
      <c r="R66" s="504" t="str">
        <f t="shared" si="6"/>
        <v/>
      </c>
      <c r="S66" s="504" t="str">
        <f t="shared" si="6"/>
        <v/>
      </c>
      <c r="T66" s="504" t="str">
        <f t="shared" si="6"/>
        <v/>
      </c>
      <c r="U66" s="504" t="str">
        <f t="shared" si="6"/>
        <v/>
      </c>
      <c r="V66" s="504" t="str">
        <f t="shared" si="6"/>
        <v/>
      </c>
      <c r="W66" s="504" t="str">
        <f t="shared" si="6"/>
        <v/>
      </c>
      <c r="X66" s="504" t="str">
        <f t="shared" si="6"/>
        <v/>
      </c>
      <c r="Y66" s="504" t="str">
        <f t="shared" si="6"/>
        <v/>
      </c>
      <c r="Z66" s="504" t="str">
        <f t="shared" si="6"/>
        <v/>
      </c>
      <c r="AA66" s="504" t="str">
        <f t="shared" si="6"/>
        <v/>
      </c>
      <c r="AB66" s="504" t="str">
        <f t="shared" si="6"/>
        <v/>
      </c>
      <c r="AC66" s="504" t="str">
        <f t="shared" si="6"/>
        <v/>
      </c>
      <c r="AD66" s="504" t="str">
        <f t="shared" si="6"/>
        <v/>
      </c>
      <c r="AE66" s="504" t="str">
        <f t="shared" si="6"/>
        <v/>
      </c>
      <c r="AF66" s="504" t="str">
        <f t="shared" ref="AF66:AQ87" si="7">IF(ISERROR($F66*$E66*EXP(-$F66*(AF$57-$C66))*$D66),"",$F66*$E66*EXP(-$F66*(AF$57-$C66))*$D66)</f>
        <v/>
      </c>
      <c r="AG66" s="504" t="str">
        <f t="shared" si="7"/>
        <v/>
      </c>
      <c r="AH66" s="504" t="str">
        <f t="shared" si="7"/>
        <v/>
      </c>
      <c r="AI66" s="504" t="str">
        <f t="shared" si="7"/>
        <v/>
      </c>
      <c r="AJ66" s="504" t="str">
        <f t="shared" si="7"/>
        <v/>
      </c>
      <c r="AK66" s="504" t="str">
        <f t="shared" si="7"/>
        <v/>
      </c>
      <c r="AL66" s="504" t="str">
        <f t="shared" si="7"/>
        <v/>
      </c>
      <c r="AM66" s="504" t="str">
        <f t="shared" si="7"/>
        <v/>
      </c>
      <c r="AN66" s="504" t="str">
        <f t="shared" si="7"/>
        <v/>
      </c>
      <c r="AO66" s="504" t="str">
        <f t="shared" si="7"/>
        <v/>
      </c>
      <c r="AP66" s="504" t="str">
        <f t="shared" si="7"/>
        <v/>
      </c>
      <c r="AQ66" s="504" t="str">
        <f t="shared" si="7"/>
        <v/>
      </c>
      <c r="AR66" s="504" t="str">
        <f t="shared" ref="AR66:AY100" si="8">IF(ISERROR($F66*$E66*EXP(-$F66*(AR$57-$C66))*$D66),"",$F66*$E66*EXP(-$F66*(AR$57-$C66))*$D66)</f>
        <v/>
      </c>
      <c r="AS66" s="504" t="str">
        <f t="shared" si="8"/>
        <v/>
      </c>
      <c r="AT66" s="504" t="str">
        <f t="shared" si="8"/>
        <v/>
      </c>
      <c r="AU66" s="504" t="str">
        <f t="shared" si="8"/>
        <v/>
      </c>
      <c r="AV66" s="504" t="str">
        <f t="shared" si="8"/>
        <v/>
      </c>
      <c r="AW66" s="504" t="str">
        <f t="shared" si="8"/>
        <v/>
      </c>
      <c r="AX66" s="504" t="str">
        <f t="shared" si="8"/>
        <v/>
      </c>
      <c r="AY66" s="504" t="str">
        <f t="shared" si="8"/>
        <v/>
      </c>
      <c r="AZ66" s="504" t="str">
        <f t="shared" ref="AZ66:BE108" si="9">IF(ISERROR($F66*$E66*EXP(-$F66*(AZ$57-$C66))*$D66),"",$F66*$E66*EXP(-$F66*(AZ$57-$C66))*$D66)</f>
        <v/>
      </c>
      <c r="BA66" s="504" t="str">
        <f t="shared" si="9"/>
        <v/>
      </c>
      <c r="BB66" s="504" t="str">
        <f t="shared" si="9"/>
        <v/>
      </c>
      <c r="BC66" s="504" t="str">
        <f t="shared" si="9"/>
        <v/>
      </c>
      <c r="BD66" s="504" t="str">
        <f t="shared" si="9"/>
        <v/>
      </c>
      <c r="BE66" s="504" t="str">
        <f t="shared" si="9"/>
        <v/>
      </c>
      <c r="BF66" s="38"/>
    </row>
    <row r="67" spans="2:58" s="92" customFormat="1" ht="20.25" customHeight="1" x14ac:dyDescent="0.3">
      <c r="B67" s="119"/>
      <c r="C67" s="502" t="str">
        <f>+IF(J$57&lt;=$G$53,J$57,"")</f>
        <v/>
      </c>
      <c r="D67" s="509"/>
      <c r="E67" s="510"/>
      <c r="F67" s="511"/>
      <c r="G67" s="503"/>
      <c r="H67" s="505"/>
      <c r="I67" s="505"/>
      <c r="J67" s="504"/>
      <c r="K67" s="504" t="str">
        <f>IF(ISERROR($F67*$E67*EXP(-$F67*(K$57-$C67))*$D67),"",$F67*$E67*EXP(-$F67*(K$57-$C67))*$D67)</f>
        <v/>
      </c>
      <c r="L67" s="504" t="str">
        <f t="shared" si="6"/>
        <v/>
      </c>
      <c r="M67" s="504" t="str">
        <f t="shared" si="6"/>
        <v/>
      </c>
      <c r="N67" s="504" t="str">
        <f t="shared" si="6"/>
        <v/>
      </c>
      <c r="O67" s="504" t="str">
        <f t="shared" si="6"/>
        <v/>
      </c>
      <c r="P67" s="504" t="str">
        <f t="shared" si="6"/>
        <v/>
      </c>
      <c r="Q67" s="504" t="str">
        <f t="shared" si="6"/>
        <v/>
      </c>
      <c r="R67" s="504" t="str">
        <f t="shared" si="6"/>
        <v/>
      </c>
      <c r="S67" s="504" t="str">
        <f t="shared" si="6"/>
        <v/>
      </c>
      <c r="T67" s="504" t="str">
        <f t="shared" si="6"/>
        <v/>
      </c>
      <c r="U67" s="504" t="str">
        <f t="shared" si="6"/>
        <v/>
      </c>
      <c r="V67" s="504" t="str">
        <f t="shared" si="6"/>
        <v/>
      </c>
      <c r="W67" s="504" t="str">
        <f t="shared" si="6"/>
        <v/>
      </c>
      <c r="X67" s="504" t="str">
        <f t="shared" si="6"/>
        <v/>
      </c>
      <c r="Y67" s="504" t="str">
        <f t="shared" si="6"/>
        <v/>
      </c>
      <c r="Z67" s="504" t="str">
        <f t="shared" si="6"/>
        <v/>
      </c>
      <c r="AA67" s="504" t="str">
        <f t="shared" si="6"/>
        <v/>
      </c>
      <c r="AB67" s="504" t="str">
        <f t="shared" si="6"/>
        <v/>
      </c>
      <c r="AC67" s="504" t="str">
        <f t="shared" si="6"/>
        <v/>
      </c>
      <c r="AD67" s="504" t="str">
        <f t="shared" si="6"/>
        <v/>
      </c>
      <c r="AE67" s="504" t="str">
        <f t="shared" si="6"/>
        <v/>
      </c>
      <c r="AF67" s="504" t="str">
        <f t="shared" si="7"/>
        <v/>
      </c>
      <c r="AG67" s="504" t="str">
        <f t="shared" si="7"/>
        <v/>
      </c>
      <c r="AH67" s="504" t="str">
        <f t="shared" si="7"/>
        <v/>
      </c>
      <c r="AI67" s="504" t="str">
        <f t="shared" si="7"/>
        <v/>
      </c>
      <c r="AJ67" s="504" t="str">
        <f t="shared" si="7"/>
        <v/>
      </c>
      <c r="AK67" s="504" t="str">
        <f t="shared" si="7"/>
        <v/>
      </c>
      <c r="AL67" s="504" t="str">
        <f t="shared" si="7"/>
        <v/>
      </c>
      <c r="AM67" s="504" t="str">
        <f t="shared" si="7"/>
        <v/>
      </c>
      <c r="AN67" s="504" t="str">
        <f t="shared" si="7"/>
        <v/>
      </c>
      <c r="AO67" s="504" t="str">
        <f t="shared" si="7"/>
        <v/>
      </c>
      <c r="AP67" s="504" t="str">
        <f t="shared" si="7"/>
        <v/>
      </c>
      <c r="AQ67" s="504" t="str">
        <f t="shared" si="7"/>
        <v/>
      </c>
      <c r="AR67" s="504" t="str">
        <f t="shared" si="8"/>
        <v/>
      </c>
      <c r="AS67" s="504" t="str">
        <f t="shared" si="8"/>
        <v/>
      </c>
      <c r="AT67" s="504" t="str">
        <f t="shared" si="8"/>
        <v/>
      </c>
      <c r="AU67" s="504" t="str">
        <f t="shared" si="8"/>
        <v/>
      </c>
      <c r="AV67" s="504" t="str">
        <f t="shared" si="8"/>
        <v/>
      </c>
      <c r="AW67" s="504" t="str">
        <f t="shared" si="8"/>
        <v/>
      </c>
      <c r="AX67" s="504" t="str">
        <f t="shared" si="8"/>
        <v/>
      </c>
      <c r="AY67" s="504" t="str">
        <f t="shared" si="8"/>
        <v/>
      </c>
      <c r="AZ67" s="504" t="str">
        <f t="shared" si="9"/>
        <v/>
      </c>
      <c r="BA67" s="504" t="str">
        <f t="shared" si="9"/>
        <v/>
      </c>
      <c r="BB67" s="504" t="str">
        <f t="shared" si="9"/>
        <v/>
      </c>
      <c r="BC67" s="504" t="str">
        <f t="shared" si="9"/>
        <v/>
      </c>
      <c r="BD67" s="504" t="str">
        <f t="shared" si="9"/>
        <v/>
      </c>
      <c r="BE67" s="504" t="str">
        <f t="shared" si="9"/>
        <v/>
      </c>
      <c r="BF67" s="38"/>
    </row>
    <row r="68" spans="2:58" s="92" customFormat="1" ht="21" customHeight="1" x14ac:dyDescent="0.3">
      <c r="B68" s="119"/>
      <c r="C68" s="502" t="str">
        <f>+IF(K$57&lt;=$G$53,K$57,"")</f>
        <v/>
      </c>
      <c r="D68" s="509"/>
      <c r="E68" s="510"/>
      <c r="F68" s="511"/>
      <c r="G68" s="503"/>
      <c r="H68" s="505"/>
      <c r="I68" s="505"/>
      <c r="J68" s="505"/>
      <c r="K68" s="504"/>
      <c r="L68" s="504" t="str">
        <f t="shared" si="6"/>
        <v/>
      </c>
      <c r="M68" s="504" t="str">
        <f t="shared" si="6"/>
        <v/>
      </c>
      <c r="N68" s="504" t="str">
        <f t="shared" si="6"/>
        <v/>
      </c>
      <c r="O68" s="504" t="str">
        <f t="shared" si="6"/>
        <v/>
      </c>
      <c r="P68" s="504" t="str">
        <f t="shared" si="6"/>
        <v/>
      </c>
      <c r="Q68" s="504" t="str">
        <f t="shared" si="6"/>
        <v/>
      </c>
      <c r="R68" s="504" t="str">
        <f t="shared" si="6"/>
        <v/>
      </c>
      <c r="S68" s="504" t="str">
        <f t="shared" si="6"/>
        <v/>
      </c>
      <c r="T68" s="504" t="str">
        <f t="shared" si="6"/>
        <v/>
      </c>
      <c r="U68" s="504" t="str">
        <f t="shared" si="6"/>
        <v/>
      </c>
      <c r="V68" s="504" t="str">
        <f t="shared" si="6"/>
        <v/>
      </c>
      <c r="W68" s="504" t="str">
        <f t="shared" si="6"/>
        <v/>
      </c>
      <c r="X68" s="504" t="str">
        <f t="shared" si="6"/>
        <v/>
      </c>
      <c r="Y68" s="504" t="str">
        <f t="shared" si="6"/>
        <v/>
      </c>
      <c r="Z68" s="504" t="str">
        <f t="shared" si="6"/>
        <v/>
      </c>
      <c r="AA68" s="504" t="str">
        <f t="shared" si="6"/>
        <v/>
      </c>
      <c r="AB68" s="504" t="str">
        <f t="shared" si="6"/>
        <v/>
      </c>
      <c r="AC68" s="504" t="str">
        <f t="shared" si="6"/>
        <v/>
      </c>
      <c r="AD68" s="504" t="str">
        <f t="shared" si="6"/>
        <v/>
      </c>
      <c r="AE68" s="504" t="str">
        <f t="shared" ref="AE68:AE87" si="10">IF(ISERROR($F68*$E68*EXP(-$F68*(AE$57-$C68))*$D68),"",$F68*$E68*EXP(-$F68*(AE$57-$C68))*$D68)</f>
        <v/>
      </c>
      <c r="AF68" s="504" t="str">
        <f t="shared" si="7"/>
        <v/>
      </c>
      <c r="AG68" s="504" t="str">
        <f t="shared" si="7"/>
        <v/>
      </c>
      <c r="AH68" s="504" t="str">
        <f t="shared" si="7"/>
        <v/>
      </c>
      <c r="AI68" s="504" t="str">
        <f t="shared" si="7"/>
        <v/>
      </c>
      <c r="AJ68" s="504" t="str">
        <f t="shared" si="7"/>
        <v/>
      </c>
      <c r="AK68" s="504" t="str">
        <f t="shared" si="7"/>
        <v/>
      </c>
      <c r="AL68" s="504" t="str">
        <f t="shared" si="7"/>
        <v/>
      </c>
      <c r="AM68" s="504" t="str">
        <f t="shared" si="7"/>
        <v/>
      </c>
      <c r="AN68" s="504" t="str">
        <f t="shared" si="7"/>
        <v/>
      </c>
      <c r="AO68" s="504" t="str">
        <f t="shared" si="7"/>
        <v/>
      </c>
      <c r="AP68" s="504" t="str">
        <f t="shared" si="7"/>
        <v/>
      </c>
      <c r="AQ68" s="504" t="str">
        <f t="shared" si="7"/>
        <v/>
      </c>
      <c r="AR68" s="504" t="str">
        <f t="shared" si="8"/>
        <v/>
      </c>
      <c r="AS68" s="504" t="str">
        <f t="shared" si="8"/>
        <v/>
      </c>
      <c r="AT68" s="504" t="str">
        <f t="shared" si="8"/>
        <v/>
      </c>
      <c r="AU68" s="504" t="str">
        <f t="shared" si="8"/>
        <v/>
      </c>
      <c r="AV68" s="504" t="str">
        <f t="shared" si="8"/>
        <v/>
      </c>
      <c r="AW68" s="504" t="str">
        <f t="shared" si="8"/>
        <v/>
      </c>
      <c r="AX68" s="504" t="str">
        <f t="shared" si="8"/>
        <v/>
      </c>
      <c r="AY68" s="504" t="str">
        <f t="shared" si="8"/>
        <v/>
      </c>
      <c r="AZ68" s="504" t="str">
        <f t="shared" si="9"/>
        <v/>
      </c>
      <c r="BA68" s="504" t="str">
        <f t="shared" si="9"/>
        <v/>
      </c>
      <c r="BB68" s="504" t="str">
        <f t="shared" si="9"/>
        <v/>
      </c>
      <c r="BC68" s="504" t="str">
        <f t="shared" si="9"/>
        <v/>
      </c>
      <c r="BD68" s="504" t="str">
        <f t="shared" si="9"/>
        <v/>
      </c>
      <c r="BE68" s="504" t="str">
        <f t="shared" si="9"/>
        <v/>
      </c>
      <c r="BF68" s="38"/>
    </row>
    <row r="69" spans="2:58" s="92" customFormat="1" ht="20.25" customHeight="1" x14ac:dyDescent="0.3">
      <c r="B69" s="119"/>
      <c r="C69" s="502" t="str">
        <f>+IF(L$57&lt;=$G$53,L$57,"")</f>
        <v/>
      </c>
      <c r="D69" s="509"/>
      <c r="E69" s="510"/>
      <c r="F69" s="511"/>
      <c r="G69" s="503"/>
      <c r="H69" s="505"/>
      <c r="I69" s="505"/>
      <c r="J69" s="505"/>
      <c r="K69" s="505"/>
      <c r="L69" s="504"/>
      <c r="M69" s="504" t="str">
        <f t="shared" si="6"/>
        <v/>
      </c>
      <c r="N69" s="504" t="str">
        <f t="shared" si="6"/>
        <v/>
      </c>
      <c r="O69" s="504" t="str">
        <f t="shared" si="6"/>
        <v/>
      </c>
      <c r="P69" s="504" t="str">
        <f t="shared" si="6"/>
        <v/>
      </c>
      <c r="Q69" s="504" t="str">
        <f t="shared" si="6"/>
        <v/>
      </c>
      <c r="R69" s="504" t="str">
        <f t="shared" si="6"/>
        <v/>
      </c>
      <c r="S69" s="504" t="str">
        <f t="shared" si="6"/>
        <v/>
      </c>
      <c r="T69" s="504" t="str">
        <f t="shared" si="6"/>
        <v/>
      </c>
      <c r="U69" s="504" t="str">
        <f t="shared" si="6"/>
        <v/>
      </c>
      <c r="V69" s="504" t="str">
        <f t="shared" si="6"/>
        <v/>
      </c>
      <c r="W69" s="504" t="str">
        <f t="shared" si="6"/>
        <v/>
      </c>
      <c r="X69" s="504" t="str">
        <f t="shared" si="6"/>
        <v/>
      </c>
      <c r="Y69" s="504" t="str">
        <f t="shared" si="6"/>
        <v/>
      </c>
      <c r="Z69" s="504" t="str">
        <f t="shared" si="6"/>
        <v/>
      </c>
      <c r="AA69" s="504" t="str">
        <f t="shared" si="6"/>
        <v/>
      </c>
      <c r="AB69" s="504" t="str">
        <f t="shared" si="6"/>
        <v/>
      </c>
      <c r="AC69" s="504" t="str">
        <f t="shared" si="6"/>
        <v/>
      </c>
      <c r="AD69" s="504" t="str">
        <f t="shared" si="6"/>
        <v/>
      </c>
      <c r="AE69" s="504" t="str">
        <f t="shared" si="10"/>
        <v/>
      </c>
      <c r="AF69" s="504" t="str">
        <f t="shared" si="7"/>
        <v/>
      </c>
      <c r="AG69" s="504" t="str">
        <f t="shared" si="7"/>
        <v/>
      </c>
      <c r="AH69" s="504" t="str">
        <f t="shared" si="7"/>
        <v/>
      </c>
      <c r="AI69" s="504" t="str">
        <f t="shared" si="7"/>
        <v/>
      </c>
      <c r="AJ69" s="504" t="str">
        <f t="shared" si="7"/>
        <v/>
      </c>
      <c r="AK69" s="504" t="str">
        <f t="shared" si="7"/>
        <v/>
      </c>
      <c r="AL69" s="504" t="str">
        <f t="shared" si="7"/>
        <v/>
      </c>
      <c r="AM69" s="504" t="str">
        <f t="shared" si="7"/>
        <v/>
      </c>
      <c r="AN69" s="504" t="str">
        <f t="shared" si="7"/>
        <v/>
      </c>
      <c r="AO69" s="504" t="str">
        <f t="shared" si="7"/>
        <v/>
      </c>
      <c r="AP69" s="504" t="str">
        <f t="shared" si="7"/>
        <v/>
      </c>
      <c r="AQ69" s="504" t="str">
        <f t="shared" si="7"/>
        <v/>
      </c>
      <c r="AR69" s="504" t="str">
        <f t="shared" si="8"/>
        <v/>
      </c>
      <c r="AS69" s="504" t="str">
        <f t="shared" si="8"/>
        <v/>
      </c>
      <c r="AT69" s="504" t="str">
        <f t="shared" si="8"/>
        <v/>
      </c>
      <c r="AU69" s="504" t="str">
        <f t="shared" si="8"/>
        <v/>
      </c>
      <c r="AV69" s="504" t="str">
        <f t="shared" si="8"/>
        <v/>
      </c>
      <c r="AW69" s="504" t="str">
        <f t="shared" si="8"/>
        <v/>
      </c>
      <c r="AX69" s="504" t="str">
        <f t="shared" si="8"/>
        <v/>
      </c>
      <c r="AY69" s="504" t="str">
        <f t="shared" si="8"/>
        <v/>
      </c>
      <c r="AZ69" s="504" t="str">
        <f t="shared" si="9"/>
        <v/>
      </c>
      <c r="BA69" s="504" t="str">
        <f t="shared" si="9"/>
        <v/>
      </c>
      <c r="BB69" s="504" t="str">
        <f t="shared" si="9"/>
        <v/>
      </c>
      <c r="BC69" s="504" t="str">
        <f t="shared" si="9"/>
        <v/>
      </c>
      <c r="BD69" s="504" t="str">
        <f t="shared" si="9"/>
        <v/>
      </c>
      <c r="BE69" s="504" t="str">
        <f t="shared" si="9"/>
        <v/>
      </c>
      <c r="BF69" s="38"/>
    </row>
    <row r="70" spans="2:58" s="92" customFormat="1" ht="18" customHeight="1" x14ac:dyDescent="0.3">
      <c r="B70" s="164"/>
      <c r="C70" s="502" t="str">
        <f>+IF(M$57&lt;=$G$53,M$57,"")</f>
        <v/>
      </c>
      <c r="D70" s="509"/>
      <c r="E70" s="510"/>
      <c r="F70" s="511"/>
      <c r="G70" s="503"/>
      <c r="H70" s="505"/>
      <c r="I70" s="505"/>
      <c r="J70" s="505"/>
      <c r="K70" s="505"/>
      <c r="L70" s="505"/>
      <c r="M70" s="504"/>
      <c r="N70" s="504" t="str">
        <f t="shared" si="6"/>
        <v/>
      </c>
      <c r="O70" s="504" t="str">
        <f t="shared" si="6"/>
        <v/>
      </c>
      <c r="P70" s="504" t="str">
        <f t="shared" si="6"/>
        <v/>
      </c>
      <c r="Q70" s="504" t="str">
        <f t="shared" si="6"/>
        <v/>
      </c>
      <c r="R70" s="504" t="str">
        <f t="shared" si="6"/>
        <v/>
      </c>
      <c r="S70" s="504" t="str">
        <f t="shared" si="6"/>
        <v/>
      </c>
      <c r="T70" s="504" t="str">
        <f t="shared" si="6"/>
        <v/>
      </c>
      <c r="U70" s="504" t="str">
        <f t="shared" si="6"/>
        <v/>
      </c>
      <c r="V70" s="504" t="str">
        <f t="shared" si="6"/>
        <v/>
      </c>
      <c r="W70" s="504" t="str">
        <f t="shared" si="6"/>
        <v/>
      </c>
      <c r="X70" s="504" t="str">
        <f t="shared" si="6"/>
        <v/>
      </c>
      <c r="Y70" s="504" t="str">
        <f t="shared" si="6"/>
        <v/>
      </c>
      <c r="Z70" s="504" t="str">
        <f t="shared" si="6"/>
        <v/>
      </c>
      <c r="AA70" s="504" t="str">
        <f t="shared" si="6"/>
        <v/>
      </c>
      <c r="AB70" s="504" t="str">
        <f t="shared" si="6"/>
        <v/>
      </c>
      <c r="AC70" s="504" t="str">
        <f t="shared" si="6"/>
        <v/>
      </c>
      <c r="AD70" s="504" t="str">
        <f t="shared" si="6"/>
        <v/>
      </c>
      <c r="AE70" s="504" t="str">
        <f t="shared" si="10"/>
        <v/>
      </c>
      <c r="AF70" s="504" t="str">
        <f t="shared" si="7"/>
        <v/>
      </c>
      <c r="AG70" s="504" t="str">
        <f t="shared" si="7"/>
        <v/>
      </c>
      <c r="AH70" s="504" t="str">
        <f t="shared" si="7"/>
        <v/>
      </c>
      <c r="AI70" s="504" t="str">
        <f t="shared" si="7"/>
        <v/>
      </c>
      <c r="AJ70" s="504" t="str">
        <f t="shared" si="7"/>
        <v/>
      </c>
      <c r="AK70" s="504" t="str">
        <f t="shared" si="7"/>
        <v/>
      </c>
      <c r="AL70" s="504" t="str">
        <f t="shared" si="7"/>
        <v/>
      </c>
      <c r="AM70" s="504" t="str">
        <f t="shared" si="7"/>
        <v/>
      </c>
      <c r="AN70" s="504" t="str">
        <f t="shared" si="7"/>
        <v/>
      </c>
      <c r="AO70" s="504" t="str">
        <f t="shared" si="7"/>
        <v/>
      </c>
      <c r="AP70" s="504" t="str">
        <f t="shared" si="7"/>
        <v/>
      </c>
      <c r="AQ70" s="504" t="str">
        <f t="shared" si="7"/>
        <v/>
      </c>
      <c r="AR70" s="504" t="str">
        <f t="shared" si="8"/>
        <v/>
      </c>
      <c r="AS70" s="504" t="str">
        <f t="shared" si="8"/>
        <v/>
      </c>
      <c r="AT70" s="504" t="str">
        <f t="shared" si="8"/>
        <v/>
      </c>
      <c r="AU70" s="504" t="str">
        <f t="shared" si="8"/>
        <v/>
      </c>
      <c r="AV70" s="504" t="str">
        <f t="shared" si="8"/>
        <v/>
      </c>
      <c r="AW70" s="504" t="str">
        <f t="shared" si="8"/>
        <v/>
      </c>
      <c r="AX70" s="504" t="str">
        <f t="shared" si="8"/>
        <v/>
      </c>
      <c r="AY70" s="504" t="str">
        <f t="shared" si="8"/>
        <v/>
      </c>
      <c r="AZ70" s="504" t="str">
        <f t="shared" si="9"/>
        <v/>
      </c>
      <c r="BA70" s="504" t="str">
        <f t="shared" si="9"/>
        <v/>
      </c>
      <c r="BB70" s="504" t="str">
        <f t="shared" si="9"/>
        <v/>
      </c>
      <c r="BC70" s="504" t="str">
        <f t="shared" si="9"/>
        <v/>
      </c>
      <c r="BD70" s="504" t="str">
        <f t="shared" si="9"/>
        <v/>
      </c>
      <c r="BE70" s="504" t="str">
        <f t="shared" si="9"/>
        <v/>
      </c>
      <c r="BF70" s="38"/>
    </row>
    <row r="71" spans="2:58" s="92" customFormat="1" ht="15.6" x14ac:dyDescent="0.3">
      <c r="B71" s="164"/>
      <c r="C71" s="502" t="str">
        <f>+IF(N$57&lt;=$G$53,N$57,"")</f>
        <v/>
      </c>
      <c r="D71" s="509"/>
      <c r="E71" s="510"/>
      <c r="F71" s="511"/>
      <c r="G71" s="503"/>
      <c r="H71" s="505"/>
      <c r="I71" s="505"/>
      <c r="J71" s="505"/>
      <c r="K71" s="505"/>
      <c r="L71" s="505"/>
      <c r="M71" s="505"/>
      <c r="N71" s="504"/>
      <c r="O71" s="504" t="str">
        <f t="shared" si="6"/>
        <v/>
      </c>
      <c r="P71" s="504" t="str">
        <f t="shared" si="6"/>
        <v/>
      </c>
      <c r="Q71" s="504" t="str">
        <f t="shared" si="6"/>
        <v/>
      </c>
      <c r="R71" s="504" t="str">
        <f t="shared" si="6"/>
        <v/>
      </c>
      <c r="S71" s="504" t="str">
        <f t="shared" si="6"/>
        <v/>
      </c>
      <c r="T71" s="504" t="str">
        <f t="shared" si="6"/>
        <v/>
      </c>
      <c r="U71" s="504" t="str">
        <f t="shared" si="6"/>
        <v/>
      </c>
      <c r="V71" s="504" t="str">
        <f t="shared" si="6"/>
        <v/>
      </c>
      <c r="W71" s="504" t="str">
        <f t="shared" si="6"/>
        <v/>
      </c>
      <c r="X71" s="504" t="str">
        <f t="shared" si="6"/>
        <v/>
      </c>
      <c r="Y71" s="504" t="str">
        <f t="shared" si="6"/>
        <v/>
      </c>
      <c r="Z71" s="504" t="str">
        <f t="shared" si="6"/>
        <v/>
      </c>
      <c r="AA71" s="504" t="str">
        <f t="shared" si="6"/>
        <v/>
      </c>
      <c r="AB71" s="504" t="str">
        <f t="shared" si="6"/>
        <v/>
      </c>
      <c r="AC71" s="504" t="str">
        <f t="shared" si="6"/>
        <v/>
      </c>
      <c r="AD71" s="504" t="str">
        <f t="shared" si="6"/>
        <v/>
      </c>
      <c r="AE71" s="504" t="str">
        <f t="shared" si="10"/>
        <v/>
      </c>
      <c r="AF71" s="504" t="str">
        <f t="shared" si="7"/>
        <v/>
      </c>
      <c r="AG71" s="504" t="str">
        <f t="shared" si="7"/>
        <v/>
      </c>
      <c r="AH71" s="504" t="str">
        <f t="shared" si="7"/>
        <v/>
      </c>
      <c r="AI71" s="504" t="str">
        <f t="shared" si="7"/>
        <v/>
      </c>
      <c r="AJ71" s="504" t="str">
        <f t="shared" si="7"/>
        <v/>
      </c>
      <c r="AK71" s="504" t="str">
        <f t="shared" si="7"/>
        <v/>
      </c>
      <c r="AL71" s="504" t="str">
        <f t="shared" si="7"/>
        <v/>
      </c>
      <c r="AM71" s="504" t="str">
        <f t="shared" si="7"/>
        <v/>
      </c>
      <c r="AN71" s="504" t="str">
        <f t="shared" si="7"/>
        <v/>
      </c>
      <c r="AO71" s="504" t="str">
        <f t="shared" si="7"/>
        <v/>
      </c>
      <c r="AP71" s="504" t="str">
        <f t="shared" si="7"/>
        <v/>
      </c>
      <c r="AQ71" s="504" t="str">
        <f t="shared" si="7"/>
        <v/>
      </c>
      <c r="AR71" s="504" t="str">
        <f t="shared" si="8"/>
        <v/>
      </c>
      <c r="AS71" s="504" t="str">
        <f t="shared" si="8"/>
        <v/>
      </c>
      <c r="AT71" s="504" t="str">
        <f t="shared" si="8"/>
        <v/>
      </c>
      <c r="AU71" s="504" t="str">
        <f t="shared" si="8"/>
        <v/>
      </c>
      <c r="AV71" s="504" t="str">
        <f t="shared" si="8"/>
        <v/>
      </c>
      <c r="AW71" s="504" t="str">
        <f t="shared" si="8"/>
        <v/>
      </c>
      <c r="AX71" s="504" t="str">
        <f t="shared" si="8"/>
        <v/>
      </c>
      <c r="AY71" s="504" t="str">
        <f t="shared" si="8"/>
        <v/>
      </c>
      <c r="AZ71" s="504" t="str">
        <f t="shared" si="9"/>
        <v/>
      </c>
      <c r="BA71" s="504" t="str">
        <f t="shared" si="9"/>
        <v/>
      </c>
      <c r="BB71" s="504" t="str">
        <f t="shared" si="9"/>
        <v/>
      </c>
      <c r="BC71" s="504" t="str">
        <f t="shared" si="9"/>
        <v/>
      </c>
      <c r="BD71" s="504" t="str">
        <f t="shared" si="9"/>
        <v/>
      </c>
      <c r="BE71" s="504" t="str">
        <f t="shared" si="9"/>
        <v/>
      </c>
      <c r="BF71" s="38"/>
    </row>
    <row r="72" spans="2:58" s="92" customFormat="1" ht="15.6" x14ac:dyDescent="0.3">
      <c r="B72" s="506"/>
      <c r="C72" s="502" t="str">
        <f>+IF(O$57&lt;=$G$53,O$57,"")</f>
        <v/>
      </c>
      <c r="D72" s="509"/>
      <c r="E72" s="510"/>
      <c r="F72" s="511"/>
      <c r="G72" s="503"/>
      <c r="H72" s="505"/>
      <c r="I72" s="505"/>
      <c r="J72" s="505"/>
      <c r="K72" s="505"/>
      <c r="L72" s="505"/>
      <c r="M72" s="505"/>
      <c r="N72" s="505"/>
      <c r="O72" s="504"/>
      <c r="P72" s="504" t="str">
        <f t="shared" si="6"/>
        <v/>
      </c>
      <c r="Q72" s="504" t="str">
        <f t="shared" si="6"/>
        <v/>
      </c>
      <c r="R72" s="504" t="str">
        <f t="shared" si="6"/>
        <v/>
      </c>
      <c r="S72" s="504" t="str">
        <f t="shared" si="6"/>
        <v/>
      </c>
      <c r="T72" s="504" t="str">
        <f t="shared" si="6"/>
        <v/>
      </c>
      <c r="U72" s="504" t="str">
        <f t="shared" si="6"/>
        <v/>
      </c>
      <c r="V72" s="504" t="str">
        <f t="shared" si="6"/>
        <v/>
      </c>
      <c r="W72" s="504" t="str">
        <f t="shared" si="6"/>
        <v/>
      </c>
      <c r="X72" s="504" t="str">
        <f t="shared" si="6"/>
        <v/>
      </c>
      <c r="Y72" s="504" t="str">
        <f t="shared" si="6"/>
        <v/>
      </c>
      <c r="Z72" s="504" t="str">
        <f t="shared" si="6"/>
        <v/>
      </c>
      <c r="AA72" s="504" t="str">
        <f t="shared" si="6"/>
        <v/>
      </c>
      <c r="AB72" s="504" t="str">
        <f t="shared" si="6"/>
        <v/>
      </c>
      <c r="AC72" s="504" t="str">
        <f t="shared" si="6"/>
        <v/>
      </c>
      <c r="AD72" s="504" t="str">
        <f t="shared" si="6"/>
        <v/>
      </c>
      <c r="AE72" s="504" t="str">
        <f t="shared" si="10"/>
        <v/>
      </c>
      <c r="AF72" s="504" t="str">
        <f t="shared" si="7"/>
        <v/>
      </c>
      <c r="AG72" s="504" t="str">
        <f t="shared" si="7"/>
        <v/>
      </c>
      <c r="AH72" s="504" t="str">
        <f t="shared" si="7"/>
        <v/>
      </c>
      <c r="AI72" s="504" t="str">
        <f t="shared" si="7"/>
        <v/>
      </c>
      <c r="AJ72" s="504" t="str">
        <f t="shared" si="7"/>
        <v/>
      </c>
      <c r="AK72" s="504" t="str">
        <f t="shared" si="7"/>
        <v/>
      </c>
      <c r="AL72" s="504" t="str">
        <f t="shared" si="7"/>
        <v/>
      </c>
      <c r="AM72" s="504" t="str">
        <f t="shared" si="7"/>
        <v/>
      </c>
      <c r="AN72" s="504" t="str">
        <f t="shared" si="7"/>
        <v/>
      </c>
      <c r="AO72" s="504" t="str">
        <f t="shared" si="7"/>
        <v/>
      </c>
      <c r="AP72" s="504" t="str">
        <f t="shared" si="7"/>
        <v/>
      </c>
      <c r="AQ72" s="504" t="str">
        <f t="shared" si="7"/>
        <v/>
      </c>
      <c r="AR72" s="504" t="str">
        <f t="shared" si="8"/>
        <v/>
      </c>
      <c r="AS72" s="504" t="str">
        <f t="shared" si="8"/>
        <v/>
      </c>
      <c r="AT72" s="504" t="str">
        <f t="shared" si="8"/>
        <v/>
      </c>
      <c r="AU72" s="504" t="str">
        <f t="shared" si="8"/>
        <v/>
      </c>
      <c r="AV72" s="504" t="str">
        <f t="shared" si="8"/>
        <v/>
      </c>
      <c r="AW72" s="504" t="str">
        <f t="shared" si="8"/>
        <v/>
      </c>
      <c r="AX72" s="504" t="str">
        <f t="shared" si="8"/>
        <v/>
      </c>
      <c r="AY72" s="504" t="str">
        <f t="shared" si="8"/>
        <v/>
      </c>
      <c r="AZ72" s="504" t="str">
        <f t="shared" si="9"/>
        <v/>
      </c>
      <c r="BA72" s="504" t="str">
        <f t="shared" si="9"/>
        <v/>
      </c>
      <c r="BB72" s="504" t="str">
        <f t="shared" si="9"/>
        <v/>
      </c>
      <c r="BC72" s="504" t="str">
        <f t="shared" si="9"/>
        <v/>
      </c>
      <c r="BD72" s="504" t="str">
        <f t="shared" si="9"/>
        <v/>
      </c>
      <c r="BE72" s="504" t="str">
        <f t="shared" si="9"/>
        <v/>
      </c>
      <c r="BF72" s="38"/>
    </row>
    <row r="73" spans="2:58" s="92" customFormat="1" ht="15.6" x14ac:dyDescent="0.3">
      <c r="B73" s="119"/>
      <c r="C73" s="502" t="str">
        <f>+IF(P$57&lt;=$G$53,P$57,"")</f>
        <v/>
      </c>
      <c r="D73" s="509"/>
      <c r="E73" s="510"/>
      <c r="F73" s="511"/>
      <c r="G73" s="503"/>
      <c r="H73" s="505"/>
      <c r="I73" s="505"/>
      <c r="J73" s="505"/>
      <c r="K73" s="505"/>
      <c r="L73" s="505"/>
      <c r="M73" s="505"/>
      <c r="N73" s="505"/>
      <c r="O73" s="505"/>
      <c r="P73" s="504"/>
      <c r="Q73" s="504" t="str">
        <f t="shared" si="6"/>
        <v/>
      </c>
      <c r="R73" s="504" t="str">
        <f t="shared" si="6"/>
        <v/>
      </c>
      <c r="S73" s="504" t="str">
        <f t="shared" si="6"/>
        <v/>
      </c>
      <c r="T73" s="504" t="str">
        <f t="shared" si="6"/>
        <v/>
      </c>
      <c r="U73" s="504" t="str">
        <f t="shared" si="6"/>
        <v/>
      </c>
      <c r="V73" s="504" t="str">
        <f t="shared" si="6"/>
        <v/>
      </c>
      <c r="W73" s="504" t="str">
        <f t="shared" si="6"/>
        <v/>
      </c>
      <c r="X73" s="504" t="str">
        <f t="shared" si="6"/>
        <v/>
      </c>
      <c r="Y73" s="504" t="str">
        <f t="shared" si="6"/>
        <v/>
      </c>
      <c r="Z73" s="504" t="str">
        <f t="shared" si="6"/>
        <v/>
      </c>
      <c r="AA73" s="504" t="str">
        <f t="shared" si="6"/>
        <v/>
      </c>
      <c r="AB73" s="504" t="str">
        <f t="shared" si="6"/>
        <v/>
      </c>
      <c r="AC73" s="504" t="str">
        <f t="shared" si="6"/>
        <v/>
      </c>
      <c r="AD73" s="504" t="str">
        <f t="shared" si="6"/>
        <v/>
      </c>
      <c r="AE73" s="504" t="str">
        <f t="shared" si="10"/>
        <v/>
      </c>
      <c r="AF73" s="504" t="str">
        <f t="shared" si="7"/>
        <v/>
      </c>
      <c r="AG73" s="504" t="str">
        <f t="shared" si="7"/>
        <v/>
      </c>
      <c r="AH73" s="504" t="str">
        <f t="shared" si="7"/>
        <v/>
      </c>
      <c r="AI73" s="504" t="str">
        <f t="shared" si="7"/>
        <v/>
      </c>
      <c r="AJ73" s="504" t="str">
        <f t="shared" si="7"/>
        <v/>
      </c>
      <c r="AK73" s="504" t="str">
        <f t="shared" si="7"/>
        <v/>
      </c>
      <c r="AL73" s="504" t="str">
        <f t="shared" si="7"/>
        <v/>
      </c>
      <c r="AM73" s="504" t="str">
        <f t="shared" si="7"/>
        <v/>
      </c>
      <c r="AN73" s="504" t="str">
        <f t="shared" si="7"/>
        <v/>
      </c>
      <c r="AO73" s="504" t="str">
        <f t="shared" si="7"/>
        <v/>
      </c>
      <c r="AP73" s="504" t="str">
        <f t="shared" si="7"/>
        <v/>
      </c>
      <c r="AQ73" s="504" t="str">
        <f t="shared" si="7"/>
        <v/>
      </c>
      <c r="AR73" s="504" t="str">
        <f t="shared" si="8"/>
        <v/>
      </c>
      <c r="AS73" s="504" t="str">
        <f t="shared" si="8"/>
        <v/>
      </c>
      <c r="AT73" s="504" t="str">
        <f t="shared" si="8"/>
        <v/>
      </c>
      <c r="AU73" s="504" t="str">
        <f t="shared" si="8"/>
        <v/>
      </c>
      <c r="AV73" s="504" t="str">
        <f t="shared" si="8"/>
        <v/>
      </c>
      <c r="AW73" s="504" t="str">
        <f t="shared" si="8"/>
        <v/>
      </c>
      <c r="AX73" s="504" t="str">
        <f t="shared" si="8"/>
        <v/>
      </c>
      <c r="AY73" s="504" t="str">
        <f t="shared" si="8"/>
        <v/>
      </c>
      <c r="AZ73" s="504" t="str">
        <f t="shared" si="9"/>
        <v/>
      </c>
      <c r="BA73" s="504" t="str">
        <f t="shared" si="9"/>
        <v/>
      </c>
      <c r="BB73" s="504" t="str">
        <f t="shared" si="9"/>
        <v/>
      </c>
      <c r="BC73" s="504" t="str">
        <f t="shared" si="9"/>
        <v/>
      </c>
      <c r="BD73" s="504" t="str">
        <f t="shared" si="9"/>
        <v/>
      </c>
      <c r="BE73" s="504" t="str">
        <f t="shared" si="9"/>
        <v/>
      </c>
      <c r="BF73" s="38"/>
    </row>
    <row r="74" spans="2:58" s="92" customFormat="1" ht="15.6" x14ac:dyDescent="0.3">
      <c r="B74" s="119"/>
      <c r="C74" s="502" t="str">
        <f>+IF(Q$57&lt;=$G$53,Q$57,"")</f>
        <v/>
      </c>
      <c r="D74" s="509"/>
      <c r="E74" s="510"/>
      <c r="F74" s="511"/>
      <c r="G74" s="503"/>
      <c r="H74" s="505"/>
      <c r="I74" s="505"/>
      <c r="J74" s="505"/>
      <c r="K74" s="505"/>
      <c r="L74" s="505"/>
      <c r="M74" s="505"/>
      <c r="N74" s="505"/>
      <c r="O74" s="505"/>
      <c r="P74" s="505"/>
      <c r="Q74" s="504"/>
      <c r="R74" s="504" t="str">
        <f t="shared" si="6"/>
        <v/>
      </c>
      <c r="S74" s="504" t="str">
        <f t="shared" si="6"/>
        <v/>
      </c>
      <c r="T74" s="504" t="str">
        <f t="shared" si="6"/>
        <v/>
      </c>
      <c r="U74" s="504" t="str">
        <f t="shared" si="6"/>
        <v/>
      </c>
      <c r="V74" s="504" t="str">
        <f t="shared" si="6"/>
        <v/>
      </c>
      <c r="W74" s="504" t="str">
        <f t="shared" si="6"/>
        <v/>
      </c>
      <c r="X74" s="504" t="str">
        <f t="shared" si="6"/>
        <v/>
      </c>
      <c r="Y74" s="504" t="str">
        <f t="shared" si="6"/>
        <v/>
      </c>
      <c r="Z74" s="504" t="str">
        <f t="shared" si="6"/>
        <v/>
      </c>
      <c r="AA74" s="504" t="str">
        <f t="shared" si="6"/>
        <v/>
      </c>
      <c r="AB74" s="504" t="str">
        <f t="shared" si="6"/>
        <v/>
      </c>
      <c r="AC74" s="504" t="str">
        <f t="shared" si="6"/>
        <v/>
      </c>
      <c r="AD74" s="504" t="str">
        <f t="shared" si="6"/>
        <v/>
      </c>
      <c r="AE74" s="504" t="str">
        <f t="shared" si="10"/>
        <v/>
      </c>
      <c r="AF74" s="504" t="str">
        <f t="shared" si="7"/>
        <v/>
      </c>
      <c r="AG74" s="504" t="str">
        <f t="shared" si="7"/>
        <v/>
      </c>
      <c r="AH74" s="504" t="str">
        <f t="shared" si="7"/>
        <v/>
      </c>
      <c r="AI74" s="504" t="str">
        <f t="shared" si="7"/>
        <v/>
      </c>
      <c r="AJ74" s="504" t="str">
        <f t="shared" si="7"/>
        <v/>
      </c>
      <c r="AK74" s="504" t="str">
        <f t="shared" si="7"/>
        <v/>
      </c>
      <c r="AL74" s="504" t="str">
        <f t="shared" si="7"/>
        <v/>
      </c>
      <c r="AM74" s="504" t="str">
        <f t="shared" si="7"/>
        <v/>
      </c>
      <c r="AN74" s="504" t="str">
        <f t="shared" si="7"/>
        <v/>
      </c>
      <c r="AO74" s="504" t="str">
        <f t="shared" si="7"/>
        <v/>
      </c>
      <c r="AP74" s="504" t="str">
        <f t="shared" si="7"/>
        <v/>
      </c>
      <c r="AQ74" s="504" t="str">
        <f t="shared" si="7"/>
        <v/>
      </c>
      <c r="AR74" s="504" t="str">
        <f t="shared" si="8"/>
        <v/>
      </c>
      <c r="AS74" s="504" t="str">
        <f t="shared" si="8"/>
        <v/>
      </c>
      <c r="AT74" s="504" t="str">
        <f t="shared" si="8"/>
        <v/>
      </c>
      <c r="AU74" s="504" t="str">
        <f t="shared" si="8"/>
        <v/>
      </c>
      <c r="AV74" s="504" t="str">
        <f t="shared" si="8"/>
        <v/>
      </c>
      <c r="AW74" s="504" t="str">
        <f t="shared" si="8"/>
        <v/>
      </c>
      <c r="AX74" s="504" t="str">
        <f t="shared" si="8"/>
        <v/>
      </c>
      <c r="AY74" s="504" t="str">
        <f t="shared" si="8"/>
        <v/>
      </c>
      <c r="AZ74" s="504" t="str">
        <f t="shared" si="9"/>
        <v/>
      </c>
      <c r="BA74" s="504" t="str">
        <f t="shared" si="9"/>
        <v/>
      </c>
      <c r="BB74" s="504" t="str">
        <f t="shared" si="9"/>
        <v/>
      </c>
      <c r="BC74" s="504" t="str">
        <f t="shared" si="9"/>
        <v/>
      </c>
      <c r="BD74" s="504" t="str">
        <f t="shared" si="9"/>
        <v/>
      </c>
      <c r="BE74" s="504" t="str">
        <f t="shared" si="9"/>
        <v/>
      </c>
      <c r="BF74" s="38"/>
    </row>
    <row r="75" spans="2:58" s="92" customFormat="1" ht="15.6" x14ac:dyDescent="0.3">
      <c r="B75" s="119"/>
      <c r="C75" s="502" t="str">
        <f>+IF(R$57&lt;=$G$53,R$57,"")</f>
        <v/>
      </c>
      <c r="D75" s="509"/>
      <c r="E75" s="510"/>
      <c r="F75" s="511"/>
      <c r="G75" s="503"/>
      <c r="H75" s="505"/>
      <c r="I75" s="505"/>
      <c r="J75" s="505"/>
      <c r="K75" s="505"/>
      <c r="L75" s="505"/>
      <c r="M75" s="505"/>
      <c r="N75" s="505"/>
      <c r="O75" s="505"/>
      <c r="P75" s="505"/>
      <c r="Q75" s="505"/>
      <c r="R75" s="504"/>
      <c r="S75" s="504" t="str">
        <f t="shared" si="6"/>
        <v/>
      </c>
      <c r="T75" s="504" t="str">
        <f t="shared" si="6"/>
        <v/>
      </c>
      <c r="U75" s="504" t="str">
        <f t="shared" si="6"/>
        <v/>
      </c>
      <c r="V75" s="504" t="str">
        <f t="shared" si="6"/>
        <v/>
      </c>
      <c r="W75" s="504" t="str">
        <f t="shared" si="6"/>
        <v/>
      </c>
      <c r="X75" s="504" t="str">
        <f t="shared" si="6"/>
        <v/>
      </c>
      <c r="Y75" s="504" t="str">
        <f t="shared" si="6"/>
        <v/>
      </c>
      <c r="Z75" s="504" t="str">
        <f t="shared" si="6"/>
        <v/>
      </c>
      <c r="AA75" s="504" t="str">
        <f t="shared" si="6"/>
        <v/>
      </c>
      <c r="AB75" s="504" t="str">
        <f t="shared" si="6"/>
        <v/>
      </c>
      <c r="AC75" s="504" t="str">
        <f t="shared" si="6"/>
        <v/>
      </c>
      <c r="AD75" s="504" t="str">
        <f t="shared" si="6"/>
        <v/>
      </c>
      <c r="AE75" s="504" t="str">
        <f t="shared" si="10"/>
        <v/>
      </c>
      <c r="AF75" s="504" t="str">
        <f t="shared" si="7"/>
        <v/>
      </c>
      <c r="AG75" s="504" t="str">
        <f t="shared" si="7"/>
        <v/>
      </c>
      <c r="AH75" s="504" t="str">
        <f t="shared" si="7"/>
        <v/>
      </c>
      <c r="AI75" s="504" t="str">
        <f t="shared" si="7"/>
        <v/>
      </c>
      <c r="AJ75" s="504" t="str">
        <f t="shared" si="7"/>
        <v/>
      </c>
      <c r="AK75" s="504" t="str">
        <f t="shared" si="7"/>
        <v/>
      </c>
      <c r="AL75" s="504" t="str">
        <f t="shared" si="7"/>
        <v/>
      </c>
      <c r="AM75" s="504" t="str">
        <f t="shared" si="7"/>
        <v/>
      </c>
      <c r="AN75" s="504" t="str">
        <f t="shared" si="7"/>
        <v/>
      </c>
      <c r="AO75" s="504" t="str">
        <f t="shared" si="7"/>
        <v/>
      </c>
      <c r="AP75" s="504" t="str">
        <f t="shared" si="7"/>
        <v/>
      </c>
      <c r="AQ75" s="504" t="str">
        <f t="shared" si="7"/>
        <v/>
      </c>
      <c r="AR75" s="504" t="str">
        <f t="shared" si="8"/>
        <v/>
      </c>
      <c r="AS75" s="504" t="str">
        <f t="shared" si="8"/>
        <v/>
      </c>
      <c r="AT75" s="504" t="str">
        <f t="shared" si="8"/>
        <v/>
      </c>
      <c r="AU75" s="504" t="str">
        <f t="shared" si="8"/>
        <v/>
      </c>
      <c r="AV75" s="504" t="str">
        <f t="shared" si="8"/>
        <v/>
      </c>
      <c r="AW75" s="504" t="str">
        <f t="shared" si="8"/>
        <v/>
      </c>
      <c r="AX75" s="504" t="str">
        <f t="shared" si="8"/>
        <v/>
      </c>
      <c r="AY75" s="504" t="str">
        <f t="shared" si="8"/>
        <v/>
      </c>
      <c r="AZ75" s="504" t="str">
        <f t="shared" si="9"/>
        <v/>
      </c>
      <c r="BA75" s="504" t="str">
        <f t="shared" si="9"/>
        <v/>
      </c>
      <c r="BB75" s="504" t="str">
        <f t="shared" si="9"/>
        <v/>
      </c>
      <c r="BC75" s="504" t="str">
        <f t="shared" si="9"/>
        <v/>
      </c>
      <c r="BD75" s="504" t="str">
        <f t="shared" si="9"/>
        <v/>
      </c>
      <c r="BE75" s="504" t="str">
        <f t="shared" si="9"/>
        <v/>
      </c>
      <c r="BF75" s="38"/>
    </row>
    <row r="76" spans="2:58" s="92" customFormat="1" ht="15.6" x14ac:dyDescent="0.3">
      <c r="B76" s="119"/>
      <c r="C76" s="502" t="str">
        <f>+IF(S$57&lt;=$G$53,S$57,"")</f>
        <v/>
      </c>
      <c r="D76" s="509"/>
      <c r="E76" s="510"/>
      <c r="F76" s="511"/>
      <c r="G76" s="503"/>
      <c r="H76" s="505"/>
      <c r="I76" s="505"/>
      <c r="J76" s="505"/>
      <c r="K76" s="505"/>
      <c r="L76" s="505"/>
      <c r="M76" s="505"/>
      <c r="N76" s="505"/>
      <c r="O76" s="505"/>
      <c r="P76" s="505"/>
      <c r="Q76" s="505"/>
      <c r="R76" s="505"/>
      <c r="S76" s="504"/>
      <c r="T76" s="504" t="str">
        <f t="shared" si="6"/>
        <v/>
      </c>
      <c r="U76" s="504" t="str">
        <f t="shared" si="6"/>
        <v/>
      </c>
      <c r="V76" s="504" t="str">
        <f t="shared" si="6"/>
        <v/>
      </c>
      <c r="W76" s="504" t="str">
        <f t="shared" si="6"/>
        <v/>
      </c>
      <c r="X76" s="504" t="str">
        <f t="shared" si="6"/>
        <v/>
      </c>
      <c r="Y76" s="504" t="str">
        <f t="shared" si="6"/>
        <v/>
      </c>
      <c r="Z76" s="504" t="str">
        <f t="shared" si="6"/>
        <v/>
      </c>
      <c r="AA76" s="504" t="str">
        <f t="shared" si="6"/>
        <v/>
      </c>
      <c r="AB76" s="504" t="str">
        <f t="shared" si="6"/>
        <v/>
      </c>
      <c r="AC76" s="504" t="str">
        <f t="shared" si="6"/>
        <v/>
      </c>
      <c r="AD76" s="504" t="str">
        <f t="shared" si="6"/>
        <v/>
      </c>
      <c r="AE76" s="504" t="str">
        <f t="shared" si="10"/>
        <v/>
      </c>
      <c r="AF76" s="504" t="str">
        <f t="shared" si="7"/>
        <v/>
      </c>
      <c r="AG76" s="504" t="str">
        <f t="shared" si="7"/>
        <v/>
      </c>
      <c r="AH76" s="504" t="str">
        <f t="shared" si="7"/>
        <v/>
      </c>
      <c r="AI76" s="504" t="str">
        <f t="shared" si="7"/>
        <v/>
      </c>
      <c r="AJ76" s="504" t="str">
        <f t="shared" si="7"/>
        <v/>
      </c>
      <c r="AK76" s="504" t="str">
        <f t="shared" si="7"/>
        <v/>
      </c>
      <c r="AL76" s="504" t="str">
        <f t="shared" si="7"/>
        <v/>
      </c>
      <c r="AM76" s="504" t="str">
        <f t="shared" si="7"/>
        <v/>
      </c>
      <c r="AN76" s="504" t="str">
        <f t="shared" si="7"/>
        <v/>
      </c>
      <c r="AO76" s="504" t="str">
        <f t="shared" si="7"/>
        <v/>
      </c>
      <c r="AP76" s="504" t="str">
        <f t="shared" si="7"/>
        <v/>
      </c>
      <c r="AQ76" s="504" t="str">
        <f t="shared" si="7"/>
        <v/>
      </c>
      <c r="AR76" s="504" t="str">
        <f t="shared" si="8"/>
        <v/>
      </c>
      <c r="AS76" s="504" t="str">
        <f t="shared" si="8"/>
        <v/>
      </c>
      <c r="AT76" s="504" t="str">
        <f t="shared" si="8"/>
        <v/>
      </c>
      <c r="AU76" s="504" t="str">
        <f t="shared" si="8"/>
        <v/>
      </c>
      <c r="AV76" s="504" t="str">
        <f t="shared" si="8"/>
        <v/>
      </c>
      <c r="AW76" s="504" t="str">
        <f t="shared" si="8"/>
        <v/>
      </c>
      <c r="AX76" s="504" t="str">
        <f t="shared" si="8"/>
        <v/>
      </c>
      <c r="AY76" s="504" t="str">
        <f t="shared" ref="AY76:AY107" si="11">IF(ISERROR($F76*$E76*EXP(-$F76*(AY$57-$C76))*$D76),"",$F76*$E76*EXP(-$F76*(AY$57-$C76))*$D76)</f>
        <v/>
      </c>
      <c r="AZ76" s="504" t="str">
        <f t="shared" si="9"/>
        <v/>
      </c>
      <c r="BA76" s="504" t="str">
        <f t="shared" si="9"/>
        <v/>
      </c>
      <c r="BB76" s="504" t="str">
        <f t="shared" si="9"/>
        <v/>
      </c>
      <c r="BC76" s="504" t="str">
        <f t="shared" si="9"/>
        <v/>
      </c>
      <c r="BD76" s="504" t="str">
        <f t="shared" si="9"/>
        <v/>
      </c>
      <c r="BE76" s="504" t="str">
        <f t="shared" si="9"/>
        <v/>
      </c>
      <c r="BF76" s="38"/>
    </row>
    <row r="77" spans="2:58" s="92" customFormat="1" ht="15.6" x14ac:dyDescent="0.3">
      <c r="B77" s="119"/>
      <c r="C77" s="502" t="str">
        <f>+IF(T$57&lt;=$G$53,T$57,"")</f>
        <v/>
      </c>
      <c r="D77" s="509"/>
      <c r="E77" s="510"/>
      <c r="F77" s="511"/>
      <c r="G77" s="503"/>
      <c r="H77" s="505"/>
      <c r="I77" s="505"/>
      <c r="J77" s="505"/>
      <c r="K77" s="505"/>
      <c r="L77" s="505"/>
      <c r="M77" s="505"/>
      <c r="N77" s="505"/>
      <c r="O77" s="505"/>
      <c r="P77" s="505"/>
      <c r="Q77" s="505"/>
      <c r="R77" s="505"/>
      <c r="S77" s="505"/>
      <c r="T77" s="504"/>
      <c r="U77" s="504" t="str">
        <f t="shared" si="6"/>
        <v/>
      </c>
      <c r="V77" s="504" t="str">
        <f t="shared" si="6"/>
        <v/>
      </c>
      <c r="W77" s="504" t="str">
        <f t="shared" si="6"/>
        <v/>
      </c>
      <c r="X77" s="504" t="str">
        <f t="shared" si="6"/>
        <v/>
      </c>
      <c r="Y77" s="504" t="str">
        <f t="shared" si="6"/>
        <v/>
      </c>
      <c r="Z77" s="504" t="str">
        <f t="shared" si="6"/>
        <v/>
      </c>
      <c r="AA77" s="504" t="str">
        <f t="shared" si="6"/>
        <v/>
      </c>
      <c r="AB77" s="504" t="str">
        <f t="shared" si="6"/>
        <v/>
      </c>
      <c r="AC77" s="504" t="str">
        <f t="shared" si="6"/>
        <v/>
      </c>
      <c r="AD77" s="504" t="str">
        <f t="shared" si="6"/>
        <v/>
      </c>
      <c r="AE77" s="504" t="str">
        <f t="shared" si="10"/>
        <v/>
      </c>
      <c r="AF77" s="504" t="str">
        <f t="shared" si="7"/>
        <v/>
      </c>
      <c r="AG77" s="504" t="str">
        <f t="shared" si="7"/>
        <v/>
      </c>
      <c r="AH77" s="504" t="str">
        <f t="shared" si="7"/>
        <v/>
      </c>
      <c r="AI77" s="504" t="str">
        <f t="shared" si="7"/>
        <v/>
      </c>
      <c r="AJ77" s="504" t="str">
        <f t="shared" si="7"/>
        <v/>
      </c>
      <c r="AK77" s="504" t="str">
        <f t="shared" si="7"/>
        <v/>
      </c>
      <c r="AL77" s="504" t="str">
        <f t="shared" si="7"/>
        <v/>
      </c>
      <c r="AM77" s="504" t="str">
        <f t="shared" si="7"/>
        <v/>
      </c>
      <c r="AN77" s="504" t="str">
        <f t="shared" si="7"/>
        <v/>
      </c>
      <c r="AO77" s="504" t="str">
        <f t="shared" si="7"/>
        <v/>
      </c>
      <c r="AP77" s="504" t="str">
        <f t="shared" si="7"/>
        <v/>
      </c>
      <c r="AQ77" s="504" t="str">
        <f t="shared" si="7"/>
        <v/>
      </c>
      <c r="AR77" s="504" t="str">
        <f t="shared" si="8"/>
        <v/>
      </c>
      <c r="AS77" s="504" t="str">
        <f t="shared" si="8"/>
        <v/>
      </c>
      <c r="AT77" s="504" t="str">
        <f t="shared" si="8"/>
        <v/>
      </c>
      <c r="AU77" s="504" t="str">
        <f t="shared" si="8"/>
        <v/>
      </c>
      <c r="AV77" s="504" t="str">
        <f t="shared" si="8"/>
        <v/>
      </c>
      <c r="AW77" s="504" t="str">
        <f t="shared" si="8"/>
        <v/>
      </c>
      <c r="AX77" s="504" t="str">
        <f t="shared" si="8"/>
        <v/>
      </c>
      <c r="AY77" s="504" t="str">
        <f t="shared" si="11"/>
        <v/>
      </c>
      <c r="AZ77" s="504" t="str">
        <f t="shared" si="9"/>
        <v/>
      </c>
      <c r="BA77" s="504" t="str">
        <f t="shared" si="9"/>
        <v/>
      </c>
      <c r="BB77" s="504" t="str">
        <f t="shared" si="9"/>
        <v/>
      </c>
      <c r="BC77" s="504" t="str">
        <f t="shared" si="9"/>
        <v/>
      </c>
      <c r="BD77" s="504" t="str">
        <f t="shared" si="9"/>
        <v/>
      </c>
      <c r="BE77" s="504" t="str">
        <f t="shared" si="9"/>
        <v/>
      </c>
      <c r="BF77" s="38"/>
    </row>
    <row r="78" spans="2:58" s="92" customFormat="1" ht="15.6" x14ac:dyDescent="0.3">
      <c r="B78" s="119"/>
      <c r="C78" s="502" t="str">
        <f>+IF(U$57&lt;=$G$53,U$57,"")</f>
        <v/>
      </c>
      <c r="D78" s="509"/>
      <c r="E78" s="510"/>
      <c r="F78" s="511"/>
      <c r="G78" s="503"/>
      <c r="H78" s="505"/>
      <c r="I78" s="505"/>
      <c r="J78" s="505"/>
      <c r="K78" s="505"/>
      <c r="L78" s="505"/>
      <c r="M78" s="505"/>
      <c r="N78" s="505"/>
      <c r="O78" s="505"/>
      <c r="P78" s="505"/>
      <c r="Q78" s="505"/>
      <c r="R78" s="505"/>
      <c r="S78" s="505"/>
      <c r="T78" s="505"/>
      <c r="U78" s="504"/>
      <c r="V78" s="504" t="str">
        <f t="shared" si="6"/>
        <v/>
      </c>
      <c r="W78" s="504" t="str">
        <f t="shared" si="6"/>
        <v/>
      </c>
      <c r="X78" s="504" t="str">
        <f t="shared" si="6"/>
        <v/>
      </c>
      <c r="Y78" s="504" t="str">
        <f t="shared" si="6"/>
        <v/>
      </c>
      <c r="Z78" s="504" t="str">
        <f t="shared" si="6"/>
        <v/>
      </c>
      <c r="AA78" s="504" t="str">
        <f t="shared" si="6"/>
        <v/>
      </c>
      <c r="AB78" s="504" t="str">
        <f t="shared" si="6"/>
        <v/>
      </c>
      <c r="AC78" s="504" t="str">
        <f t="shared" si="6"/>
        <v/>
      </c>
      <c r="AD78" s="504" t="str">
        <f t="shared" si="6"/>
        <v/>
      </c>
      <c r="AE78" s="504" t="str">
        <f t="shared" si="10"/>
        <v/>
      </c>
      <c r="AF78" s="504" t="str">
        <f t="shared" si="7"/>
        <v/>
      </c>
      <c r="AG78" s="504" t="str">
        <f t="shared" si="7"/>
        <v/>
      </c>
      <c r="AH78" s="504" t="str">
        <f t="shared" si="7"/>
        <v/>
      </c>
      <c r="AI78" s="504" t="str">
        <f t="shared" si="7"/>
        <v/>
      </c>
      <c r="AJ78" s="504" t="str">
        <f t="shared" si="7"/>
        <v/>
      </c>
      <c r="AK78" s="504" t="str">
        <f t="shared" si="7"/>
        <v/>
      </c>
      <c r="AL78" s="504" t="str">
        <f t="shared" si="7"/>
        <v/>
      </c>
      <c r="AM78" s="504" t="str">
        <f t="shared" si="7"/>
        <v/>
      </c>
      <c r="AN78" s="504" t="str">
        <f t="shared" si="7"/>
        <v/>
      </c>
      <c r="AO78" s="504" t="str">
        <f t="shared" si="7"/>
        <v/>
      </c>
      <c r="AP78" s="504" t="str">
        <f t="shared" si="7"/>
        <v/>
      </c>
      <c r="AQ78" s="504" t="str">
        <f t="shared" si="7"/>
        <v/>
      </c>
      <c r="AR78" s="504" t="str">
        <f t="shared" si="8"/>
        <v/>
      </c>
      <c r="AS78" s="504" t="str">
        <f t="shared" si="8"/>
        <v/>
      </c>
      <c r="AT78" s="504" t="str">
        <f t="shared" si="8"/>
        <v/>
      </c>
      <c r="AU78" s="504" t="str">
        <f t="shared" si="8"/>
        <v/>
      </c>
      <c r="AV78" s="504" t="str">
        <f t="shared" si="8"/>
        <v/>
      </c>
      <c r="AW78" s="504" t="str">
        <f t="shared" si="8"/>
        <v/>
      </c>
      <c r="AX78" s="504" t="str">
        <f t="shared" si="8"/>
        <v/>
      </c>
      <c r="AY78" s="504" t="str">
        <f t="shared" si="11"/>
        <v/>
      </c>
      <c r="AZ78" s="504" t="str">
        <f t="shared" si="9"/>
        <v/>
      </c>
      <c r="BA78" s="504" t="str">
        <f t="shared" si="9"/>
        <v/>
      </c>
      <c r="BB78" s="504" t="str">
        <f t="shared" si="9"/>
        <v/>
      </c>
      <c r="BC78" s="504" t="str">
        <f t="shared" si="9"/>
        <v/>
      </c>
      <c r="BD78" s="504" t="str">
        <f t="shared" si="9"/>
        <v/>
      </c>
      <c r="BE78" s="504" t="str">
        <f t="shared" si="9"/>
        <v/>
      </c>
      <c r="BF78" s="38"/>
    </row>
    <row r="79" spans="2:58" s="92" customFormat="1" ht="15.6" x14ac:dyDescent="0.3">
      <c r="B79" s="119"/>
      <c r="C79" s="502" t="str">
        <f>+IF(V$57&lt;=$G$53,V$57,"")</f>
        <v/>
      </c>
      <c r="D79" s="509"/>
      <c r="E79" s="510"/>
      <c r="F79" s="511"/>
      <c r="G79" s="503"/>
      <c r="H79" s="505"/>
      <c r="I79" s="505"/>
      <c r="J79" s="505"/>
      <c r="K79" s="505"/>
      <c r="L79" s="505"/>
      <c r="M79" s="505"/>
      <c r="N79" s="505"/>
      <c r="O79" s="505"/>
      <c r="P79" s="505"/>
      <c r="Q79" s="505"/>
      <c r="R79" s="505"/>
      <c r="S79" s="505"/>
      <c r="T79" s="505"/>
      <c r="U79" s="505"/>
      <c r="V79" s="504"/>
      <c r="W79" s="504" t="str">
        <f t="shared" si="6"/>
        <v/>
      </c>
      <c r="X79" s="504" t="str">
        <f t="shared" si="6"/>
        <v/>
      </c>
      <c r="Y79" s="504" t="str">
        <f t="shared" si="6"/>
        <v/>
      </c>
      <c r="Z79" s="504" t="str">
        <f t="shared" si="6"/>
        <v/>
      </c>
      <c r="AA79" s="504" t="str">
        <f t="shared" si="6"/>
        <v/>
      </c>
      <c r="AB79" s="504" t="str">
        <f t="shared" si="6"/>
        <v/>
      </c>
      <c r="AC79" s="504" t="str">
        <f t="shared" si="6"/>
        <v/>
      </c>
      <c r="AD79" s="504" t="str">
        <f t="shared" si="6"/>
        <v/>
      </c>
      <c r="AE79" s="504" t="str">
        <f t="shared" si="10"/>
        <v/>
      </c>
      <c r="AF79" s="504" t="str">
        <f t="shared" si="7"/>
        <v/>
      </c>
      <c r="AG79" s="504" t="str">
        <f t="shared" si="7"/>
        <v/>
      </c>
      <c r="AH79" s="504" t="str">
        <f t="shared" si="7"/>
        <v/>
      </c>
      <c r="AI79" s="504" t="str">
        <f t="shared" si="7"/>
        <v/>
      </c>
      <c r="AJ79" s="504" t="str">
        <f t="shared" si="7"/>
        <v/>
      </c>
      <c r="AK79" s="504" t="str">
        <f t="shared" si="7"/>
        <v/>
      </c>
      <c r="AL79" s="504" t="str">
        <f t="shared" si="7"/>
        <v/>
      </c>
      <c r="AM79" s="504" t="str">
        <f t="shared" si="7"/>
        <v/>
      </c>
      <c r="AN79" s="504" t="str">
        <f t="shared" si="7"/>
        <v/>
      </c>
      <c r="AO79" s="504" t="str">
        <f t="shared" si="7"/>
        <v/>
      </c>
      <c r="AP79" s="504" t="str">
        <f t="shared" si="7"/>
        <v/>
      </c>
      <c r="AQ79" s="504" t="str">
        <f t="shared" ref="AQ79:AQ99" si="12">IF(ISERROR($F79*$E79*EXP(-$F79*(AQ$57-$C79))*$D79),"",$F79*$E79*EXP(-$F79*(AQ$57-$C79))*$D79)</f>
        <v/>
      </c>
      <c r="AR79" s="504" t="str">
        <f t="shared" si="8"/>
        <v/>
      </c>
      <c r="AS79" s="504" t="str">
        <f t="shared" si="8"/>
        <v/>
      </c>
      <c r="AT79" s="504" t="str">
        <f t="shared" si="8"/>
        <v/>
      </c>
      <c r="AU79" s="504" t="str">
        <f t="shared" si="8"/>
        <v/>
      </c>
      <c r="AV79" s="504" t="str">
        <f t="shared" si="8"/>
        <v/>
      </c>
      <c r="AW79" s="504" t="str">
        <f t="shared" si="8"/>
        <v/>
      </c>
      <c r="AX79" s="504" t="str">
        <f t="shared" si="8"/>
        <v/>
      </c>
      <c r="AY79" s="504" t="str">
        <f t="shared" si="11"/>
        <v/>
      </c>
      <c r="AZ79" s="504" t="str">
        <f t="shared" si="9"/>
        <v/>
      </c>
      <c r="BA79" s="504" t="str">
        <f t="shared" si="9"/>
        <v/>
      </c>
      <c r="BB79" s="504" t="str">
        <f t="shared" si="9"/>
        <v/>
      </c>
      <c r="BC79" s="504" t="str">
        <f t="shared" si="9"/>
        <v/>
      </c>
      <c r="BD79" s="504" t="str">
        <f t="shared" si="9"/>
        <v/>
      </c>
      <c r="BE79" s="504" t="str">
        <f t="shared" si="9"/>
        <v/>
      </c>
      <c r="BF79" s="38"/>
    </row>
    <row r="80" spans="2:58" s="92" customFormat="1" ht="15.6" x14ac:dyDescent="0.3">
      <c r="B80" s="119"/>
      <c r="C80" s="502" t="str">
        <f>+IF(W$57&lt;=$G$53,W$57,"")</f>
        <v/>
      </c>
      <c r="D80" s="509"/>
      <c r="E80" s="510"/>
      <c r="F80" s="511"/>
      <c r="G80" s="503"/>
      <c r="H80" s="505"/>
      <c r="I80" s="505"/>
      <c r="J80" s="505"/>
      <c r="K80" s="505"/>
      <c r="L80" s="505"/>
      <c r="M80" s="505"/>
      <c r="N80" s="505"/>
      <c r="O80" s="505"/>
      <c r="P80" s="505"/>
      <c r="Q80" s="505"/>
      <c r="R80" s="505"/>
      <c r="S80" s="505"/>
      <c r="T80" s="505"/>
      <c r="U80" s="505"/>
      <c r="V80" s="505"/>
      <c r="W80" s="504"/>
      <c r="X80" s="504" t="str">
        <f t="shared" si="6"/>
        <v/>
      </c>
      <c r="Y80" s="504" t="str">
        <f t="shared" si="6"/>
        <v/>
      </c>
      <c r="Z80" s="504" t="str">
        <f t="shared" si="6"/>
        <v/>
      </c>
      <c r="AA80" s="504" t="str">
        <f t="shared" si="6"/>
        <v/>
      </c>
      <c r="AB80" s="504" t="str">
        <f t="shared" si="6"/>
        <v/>
      </c>
      <c r="AC80" s="504" t="str">
        <f t="shared" si="6"/>
        <v/>
      </c>
      <c r="AD80" s="504" t="str">
        <f t="shared" si="6"/>
        <v/>
      </c>
      <c r="AE80" s="504" t="str">
        <f t="shared" si="10"/>
        <v/>
      </c>
      <c r="AF80" s="504" t="str">
        <f t="shared" si="7"/>
        <v/>
      </c>
      <c r="AG80" s="504" t="str">
        <f t="shared" si="7"/>
        <v/>
      </c>
      <c r="AH80" s="504" t="str">
        <f t="shared" si="7"/>
        <v/>
      </c>
      <c r="AI80" s="504" t="str">
        <f t="shared" si="7"/>
        <v/>
      </c>
      <c r="AJ80" s="504" t="str">
        <f t="shared" si="7"/>
        <v/>
      </c>
      <c r="AK80" s="504" t="str">
        <f t="shared" si="7"/>
        <v/>
      </c>
      <c r="AL80" s="504" t="str">
        <f t="shared" si="7"/>
        <v/>
      </c>
      <c r="AM80" s="504" t="str">
        <f t="shared" si="7"/>
        <v/>
      </c>
      <c r="AN80" s="504" t="str">
        <f t="shared" si="7"/>
        <v/>
      </c>
      <c r="AO80" s="504" t="str">
        <f t="shared" si="7"/>
        <v/>
      </c>
      <c r="AP80" s="504" t="str">
        <f t="shared" si="7"/>
        <v/>
      </c>
      <c r="AQ80" s="504" t="str">
        <f t="shared" si="12"/>
        <v/>
      </c>
      <c r="AR80" s="504" t="str">
        <f t="shared" si="8"/>
        <v/>
      </c>
      <c r="AS80" s="504" t="str">
        <f t="shared" si="8"/>
        <v/>
      </c>
      <c r="AT80" s="504" t="str">
        <f t="shared" si="8"/>
        <v/>
      </c>
      <c r="AU80" s="504" t="str">
        <f t="shared" si="8"/>
        <v/>
      </c>
      <c r="AV80" s="504" t="str">
        <f t="shared" si="8"/>
        <v/>
      </c>
      <c r="AW80" s="504" t="str">
        <f t="shared" si="8"/>
        <v/>
      </c>
      <c r="AX80" s="504" t="str">
        <f t="shared" si="8"/>
        <v/>
      </c>
      <c r="AY80" s="504" t="str">
        <f t="shared" si="11"/>
        <v/>
      </c>
      <c r="AZ80" s="504" t="str">
        <f t="shared" si="9"/>
        <v/>
      </c>
      <c r="BA80" s="504" t="str">
        <f t="shared" si="9"/>
        <v/>
      </c>
      <c r="BB80" s="504" t="str">
        <f t="shared" si="9"/>
        <v/>
      </c>
      <c r="BC80" s="504" t="str">
        <f t="shared" si="9"/>
        <v/>
      </c>
      <c r="BD80" s="504" t="str">
        <f t="shared" si="9"/>
        <v/>
      </c>
      <c r="BE80" s="504" t="str">
        <f t="shared" si="9"/>
        <v/>
      </c>
      <c r="BF80" s="38"/>
    </row>
    <row r="81" spans="2:58" s="92" customFormat="1" ht="15.6" x14ac:dyDescent="0.3">
      <c r="B81" s="119"/>
      <c r="C81" s="502" t="str">
        <f>+IF(X$57&lt;=$G$53,X$57,"")</f>
        <v/>
      </c>
      <c r="D81" s="509"/>
      <c r="E81" s="510"/>
      <c r="F81" s="511"/>
      <c r="G81" s="503"/>
      <c r="H81" s="505"/>
      <c r="I81" s="505"/>
      <c r="J81" s="505"/>
      <c r="K81" s="505"/>
      <c r="L81" s="505"/>
      <c r="M81" s="505"/>
      <c r="N81" s="505"/>
      <c r="O81" s="505"/>
      <c r="P81" s="505"/>
      <c r="Q81" s="505"/>
      <c r="R81" s="505"/>
      <c r="S81" s="505"/>
      <c r="T81" s="505"/>
      <c r="U81" s="505"/>
      <c r="V81" s="505"/>
      <c r="W81" s="505"/>
      <c r="X81" s="504"/>
      <c r="Y81" s="504" t="str">
        <f t="shared" ref="Y81:AD86" si="13">IF(ISERROR($F81*$E81*EXP(-$F81*(Y$57-$C81))*$D81),"",$F81*$E81*EXP(-$F81*(Y$57-$C81))*$D81)</f>
        <v/>
      </c>
      <c r="Z81" s="504" t="str">
        <f t="shared" si="13"/>
        <v/>
      </c>
      <c r="AA81" s="504" t="str">
        <f t="shared" si="13"/>
        <v/>
      </c>
      <c r="AB81" s="504" t="str">
        <f t="shared" si="13"/>
        <v/>
      </c>
      <c r="AC81" s="504" t="str">
        <f t="shared" si="13"/>
        <v/>
      </c>
      <c r="AD81" s="504" t="str">
        <f t="shared" si="13"/>
        <v/>
      </c>
      <c r="AE81" s="504" t="str">
        <f t="shared" si="10"/>
        <v/>
      </c>
      <c r="AF81" s="504" t="str">
        <f t="shared" si="7"/>
        <v/>
      </c>
      <c r="AG81" s="504" t="str">
        <f t="shared" si="7"/>
        <v/>
      </c>
      <c r="AH81" s="504" t="str">
        <f t="shared" si="7"/>
        <v/>
      </c>
      <c r="AI81" s="504" t="str">
        <f t="shared" si="7"/>
        <v/>
      </c>
      <c r="AJ81" s="504" t="str">
        <f t="shared" si="7"/>
        <v/>
      </c>
      <c r="AK81" s="504" t="str">
        <f t="shared" si="7"/>
        <v/>
      </c>
      <c r="AL81" s="504" t="str">
        <f t="shared" si="7"/>
        <v/>
      </c>
      <c r="AM81" s="504" t="str">
        <f t="shared" si="7"/>
        <v/>
      </c>
      <c r="AN81" s="504" t="str">
        <f t="shared" si="7"/>
        <v/>
      </c>
      <c r="AO81" s="504" t="str">
        <f t="shared" si="7"/>
        <v/>
      </c>
      <c r="AP81" s="504" t="str">
        <f t="shared" si="7"/>
        <v/>
      </c>
      <c r="AQ81" s="504" t="str">
        <f t="shared" si="12"/>
        <v/>
      </c>
      <c r="AR81" s="504" t="str">
        <f t="shared" si="8"/>
        <v/>
      </c>
      <c r="AS81" s="504" t="str">
        <f t="shared" si="8"/>
        <v/>
      </c>
      <c r="AT81" s="504" t="str">
        <f t="shared" si="8"/>
        <v/>
      </c>
      <c r="AU81" s="504" t="str">
        <f t="shared" si="8"/>
        <v/>
      </c>
      <c r="AV81" s="504" t="str">
        <f t="shared" si="8"/>
        <v/>
      </c>
      <c r="AW81" s="504" t="str">
        <f t="shared" si="8"/>
        <v/>
      </c>
      <c r="AX81" s="504" t="str">
        <f t="shared" si="8"/>
        <v/>
      </c>
      <c r="AY81" s="504" t="str">
        <f t="shared" si="11"/>
        <v/>
      </c>
      <c r="AZ81" s="504" t="str">
        <f t="shared" si="9"/>
        <v/>
      </c>
      <c r="BA81" s="504" t="str">
        <f t="shared" si="9"/>
        <v/>
      </c>
      <c r="BB81" s="504" t="str">
        <f t="shared" si="9"/>
        <v/>
      </c>
      <c r="BC81" s="504" t="str">
        <f t="shared" si="9"/>
        <v/>
      </c>
      <c r="BD81" s="504" t="str">
        <f t="shared" si="9"/>
        <v/>
      </c>
      <c r="BE81" s="504" t="str">
        <f t="shared" si="9"/>
        <v/>
      </c>
      <c r="BF81" s="38"/>
    </row>
    <row r="82" spans="2:58" s="92" customFormat="1" ht="15.6" x14ac:dyDescent="0.3">
      <c r="B82" s="119"/>
      <c r="C82" s="502" t="str">
        <f>+IF(Y$57&lt;=$G$53,Y$57,"")</f>
        <v/>
      </c>
      <c r="D82" s="509"/>
      <c r="E82" s="510"/>
      <c r="F82" s="511"/>
      <c r="G82" s="503"/>
      <c r="H82" s="505"/>
      <c r="I82" s="505"/>
      <c r="J82" s="505"/>
      <c r="K82" s="505"/>
      <c r="L82" s="505"/>
      <c r="M82" s="505"/>
      <c r="N82" s="505"/>
      <c r="O82" s="505"/>
      <c r="P82" s="505"/>
      <c r="Q82" s="505"/>
      <c r="R82" s="505"/>
      <c r="S82" s="505"/>
      <c r="T82" s="505"/>
      <c r="U82" s="505"/>
      <c r="V82" s="505"/>
      <c r="W82" s="505"/>
      <c r="X82" s="505"/>
      <c r="Y82" s="504"/>
      <c r="Z82" s="504" t="str">
        <f t="shared" si="13"/>
        <v/>
      </c>
      <c r="AA82" s="504" t="str">
        <f t="shared" si="13"/>
        <v/>
      </c>
      <c r="AB82" s="504" t="str">
        <f t="shared" si="13"/>
        <v/>
      </c>
      <c r="AC82" s="504" t="str">
        <f t="shared" si="13"/>
        <v/>
      </c>
      <c r="AD82" s="504" t="str">
        <f t="shared" si="13"/>
        <v/>
      </c>
      <c r="AE82" s="504" t="str">
        <f t="shared" si="10"/>
        <v/>
      </c>
      <c r="AF82" s="504" t="str">
        <f t="shared" si="7"/>
        <v/>
      </c>
      <c r="AG82" s="504" t="str">
        <f t="shared" si="7"/>
        <v/>
      </c>
      <c r="AH82" s="504" t="str">
        <f t="shared" si="7"/>
        <v/>
      </c>
      <c r="AI82" s="504" t="str">
        <f t="shared" si="7"/>
        <v/>
      </c>
      <c r="AJ82" s="504" t="str">
        <f t="shared" si="7"/>
        <v/>
      </c>
      <c r="AK82" s="504" t="str">
        <f t="shared" si="7"/>
        <v/>
      </c>
      <c r="AL82" s="504" t="str">
        <f t="shared" si="7"/>
        <v/>
      </c>
      <c r="AM82" s="504" t="str">
        <f t="shared" si="7"/>
        <v/>
      </c>
      <c r="AN82" s="504" t="str">
        <f t="shared" si="7"/>
        <v/>
      </c>
      <c r="AO82" s="504" t="str">
        <f t="shared" si="7"/>
        <v/>
      </c>
      <c r="AP82" s="504" t="str">
        <f t="shared" si="7"/>
        <v/>
      </c>
      <c r="AQ82" s="504" t="str">
        <f t="shared" si="12"/>
        <v/>
      </c>
      <c r="AR82" s="504" t="str">
        <f t="shared" si="8"/>
        <v/>
      </c>
      <c r="AS82" s="504" t="str">
        <f t="shared" si="8"/>
        <v/>
      </c>
      <c r="AT82" s="504" t="str">
        <f t="shared" si="8"/>
        <v/>
      </c>
      <c r="AU82" s="504" t="str">
        <f t="shared" si="8"/>
        <v/>
      </c>
      <c r="AV82" s="504" t="str">
        <f t="shared" si="8"/>
        <v/>
      </c>
      <c r="AW82" s="504" t="str">
        <f t="shared" si="8"/>
        <v/>
      </c>
      <c r="AX82" s="504" t="str">
        <f t="shared" si="8"/>
        <v/>
      </c>
      <c r="AY82" s="504" t="str">
        <f t="shared" si="11"/>
        <v/>
      </c>
      <c r="AZ82" s="504" t="str">
        <f t="shared" si="9"/>
        <v/>
      </c>
      <c r="BA82" s="504" t="str">
        <f t="shared" si="9"/>
        <v/>
      </c>
      <c r="BB82" s="504" t="str">
        <f t="shared" si="9"/>
        <v/>
      </c>
      <c r="BC82" s="504" t="str">
        <f t="shared" si="9"/>
        <v/>
      </c>
      <c r="BD82" s="504" t="str">
        <f t="shared" si="9"/>
        <v/>
      </c>
      <c r="BE82" s="504" t="str">
        <f t="shared" si="9"/>
        <v/>
      </c>
      <c r="BF82" s="38"/>
    </row>
    <row r="83" spans="2:58" s="92" customFormat="1" ht="15.6" x14ac:dyDescent="0.3">
      <c r="B83" s="119"/>
      <c r="C83" s="502" t="str">
        <f>+IF(Z$57&lt;=$G$53,Z$57,"")</f>
        <v/>
      </c>
      <c r="D83" s="509"/>
      <c r="E83" s="510"/>
      <c r="F83" s="511"/>
      <c r="G83" s="503"/>
      <c r="H83" s="505"/>
      <c r="I83" s="505"/>
      <c r="J83" s="505"/>
      <c r="K83" s="505"/>
      <c r="L83" s="505"/>
      <c r="M83" s="505"/>
      <c r="N83" s="505"/>
      <c r="O83" s="505"/>
      <c r="P83" s="505"/>
      <c r="Q83" s="505"/>
      <c r="R83" s="505"/>
      <c r="S83" s="505"/>
      <c r="T83" s="505"/>
      <c r="U83" s="505"/>
      <c r="V83" s="505"/>
      <c r="W83" s="505"/>
      <c r="X83" s="505"/>
      <c r="Y83" s="505"/>
      <c r="Z83" s="504"/>
      <c r="AA83" s="504" t="str">
        <f t="shared" si="13"/>
        <v/>
      </c>
      <c r="AB83" s="504" t="str">
        <f t="shared" si="13"/>
        <v/>
      </c>
      <c r="AC83" s="504" t="str">
        <f t="shared" si="13"/>
        <v/>
      </c>
      <c r="AD83" s="504" t="str">
        <f t="shared" si="13"/>
        <v/>
      </c>
      <c r="AE83" s="504" t="str">
        <f t="shared" si="10"/>
        <v/>
      </c>
      <c r="AF83" s="504" t="str">
        <f t="shared" si="7"/>
        <v/>
      </c>
      <c r="AG83" s="504" t="str">
        <f t="shared" si="7"/>
        <v/>
      </c>
      <c r="AH83" s="504" t="str">
        <f t="shared" si="7"/>
        <v/>
      </c>
      <c r="AI83" s="504" t="str">
        <f t="shared" si="7"/>
        <v/>
      </c>
      <c r="AJ83" s="504" t="str">
        <f t="shared" si="7"/>
        <v/>
      </c>
      <c r="AK83" s="504" t="str">
        <f t="shared" si="7"/>
        <v/>
      </c>
      <c r="AL83" s="504" t="str">
        <f t="shared" si="7"/>
        <v/>
      </c>
      <c r="AM83" s="504" t="str">
        <f t="shared" si="7"/>
        <v/>
      </c>
      <c r="AN83" s="504" t="str">
        <f t="shared" si="7"/>
        <v/>
      </c>
      <c r="AO83" s="504" t="str">
        <f t="shared" si="7"/>
        <v/>
      </c>
      <c r="AP83" s="504" t="str">
        <f t="shared" si="7"/>
        <v/>
      </c>
      <c r="AQ83" s="504" t="str">
        <f t="shared" si="12"/>
        <v/>
      </c>
      <c r="AR83" s="504" t="str">
        <f t="shared" si="8"/>
        <v/>
      </c>
      <c r="AS83" s="504" t="str">
        <f t="shared" si="8"/>
        <v/>
      </c>
      <c r="AT83" s="504" t="str">
        <f t="shared" si="8"/>
        <v/>
      </c>
      <c r="AU83" s="504" t="str">
        <f t="shared" si="8"/>
        <v/>
      </c>
      <c r="AV83" s="504" t="str">
        <f t="shared" si="8"/>
        <v/>
      </c>
      <c r="AW83" s="504" t="str">
        <f t="shared" si="8"/>
        <v/>
      </c>
      <c r="AX83" s="504" t="str">
        <f t="shared" si="8"/>
        <v/>
      </c>
      <c r="AY83" s="504" t="str">
        <f t="shared" si="11"/>
        <v/>
      </c>
      <c r="AZ83" s="504" t="str">
        <f t="shared" si="9"/>
        <v/>
      </c>
      <c r="BA83" s="504" t="str">
        <f t="shared" si="9"/>
        <v/>
      </c>
      <c r="BB83" s="504" t="str">
        <f t="shared" si="9"/>
        <v/>
      </c>
      <c r="BC83" s="504" t="str">
        <f t="shared" si="9"/>
        <v/>
      </c>
      <c r="BD83" s="504" t="str">
        <f t="shared" si="9"/>
        <v/>
      </c>
      <c r="BE83" s="504" t="str">
        <f t="shared" si="9"/>
        <v/>
      </c>
      <c r="BF83" s="38"/>
    </row>
    <row r="84" spans="2:58" s="92" customFormat="1" ht="15.6" x14ac:dyDescent="0.3">
      <c r="B84" s="119"/>
      <c r="C84" s="502" t="str">
        <f>+IF(AA$57&lt;=$G$53,AA$57,"")</f>
        <v/>
      </c>
      <c r="D84" s="509"/>
      <c r="E84" s="510"/>
      <c r="F84" s="511"/>
      <c r="G84" s="503"/>
      <c r="H84" s="505"/>
      <c r="I84" s="505"/>
      <c r="J84" s="505"/>
      <c r="K84" s="505"/>
      <c r="L84" s="505"/>
      <c r="M84" s="505"/>
      <c r="N84" s="505"/>
      <c r="O84" s="505"/>
      <c r="P84" s="505"/>
      <c r="Q84" s="505"/>
      <c r="R84" s="505"/>
      <c r="S84" s="505"/>
      <c r="T84" s="505"/>
      <c r="U84" s="505"/>
      <c r="V84" s="505"/>
      <c r="W84" s="505"/>
      <c r="X84" s="505"/>
      <c r="Y84" s="505"/>
      <c r="Z84" s="505"/>
      <c r="AA84" s="504"/>
      <c r="AB84" s="504" t="str">
        <f t="shared" si="13"/>
        <v/>
      </c>
      <c r="AC84" s="504" t="str">
        <f t="shared" si="13"/>
        <v/>
      </c>
      <c r="AD84" s="504" t="str">
        <f t="shared" si="13"/>
        <v/>
      </c>
      <c r="AE84" s="504" t="str">
        <f t="shared" si="10"/>
        <v/>
      </c>
      <c r="AF84" s="504" t="str">
        <f t="shared" si="7"/>
        <v/>
      </c>
      <c r="AG84" s="504" t="str">
        <f t="shared" si="7"/>
        <v/>
      </c>
      <c r="AH84" s="504" t="str">
        <f t="shared" si="7"/>
        <v/>
      </c>
      <c r="AI84" s="504" t="str">
        <f t="shared" si="7"/>
        <v/>
      </c>
      <c r="AJ84" s="504" t="str">
        <f t="shared" si="7"/>
        <v/>
      </c>
      <c r="AK84" s="504" t="str">
        <f t="shared" si="7"/>
        <v/>
      </c>
      <c r="AL84" s="504" t="str">
        <f t="shared" si="7"/>
        <v/>
      </c>
      <c r="AM84" s="504" t="str">
        <f t="shared" si="7"/>
        <v/>
      </c>
      <c r="AN84" s="504" t="str">
        <f t="shared" si="7"/>
        <v/>
      </c>
      <c r="AO84" s="504" t="str">
        <f t="shared" si="7"/>
        <v/>
      </c>
      <c r="AP84" s="504" t="str">
        <f t="shared" si="7"/>
        <v/>
      </c>
      <c r="AQ84" s="504" t="str">
        <f t="shared" si="12"/>
        <v/>
      </c>
      <c r="AR84" s="504" t="str">
        <f t="shared" si="8"/>
        <v/>
      </c>
      <c r="AS84" s="504" t="str">
        <f t="shared" si="8"/>
        <v/>
      </c>
      <c r="AT84" s="504" t="str">
        <f t="shared" si="8"/>
        <v/>
      </c>
      <c r="AU84" s="504" t="str">
        <f t="shared" si="8"/>
        <v/>
      </c>
      <c r="AV84" s="504" t="str">
        <f t="shared" si="8"/>
        <v/>
      </c>
      <c r="AW84" s="504" t="str">
        <f t="shared" si="8"/>
        <v/>
      </c>
      <c r="AX84" s="504" t="str">
        <f t="shared" si="8"/>
        <v/>
      </c>
      <c r="AY84" s="504" t="str">
        <f t="shared" si="11"/>
        <v/>
      </c>
      <c r="AZ84" s="504" t="str">
        <f t="shared" si="9"/>
        <v/>
      </c>
      <c r="BA84" s="504" t="str">
        <f t="shared" si="9"/>
        <v/>
      </c>
      <c r="BB84" s="504" t="str">
        <f t="shared" si="9"/>
        <v/>
      </c>
      <c r="BC84" s="504" t="str">
        <f t="shared" si="9"/>
        <v/>
      </c>
      <c r="BD84" s="504" t="str">
        <f t="shared" si="9"/>
        <v/>
      </c>
      <c r="BE84" s="504" t="str">
        <f t="shared" si="9"/>
        <v/>
      </c>
      <c r="BF84" s="38"/>
    </row>
    <row r="85" spans="2:58" s="92" customFormat="1" ht="15.6" x14ac:dyDescent="0.3">
      <c r="B85" s="119"/>
      <c r="C85" s="502" t="str">
        <f>+IF(AB$57&lt;=$G$53,AB$57,"")</f>
        <v/>
      </c>
      <c r="D85" s="509"/>
      <c r="E85" s="510"/>
      <c r="F85" s="511"/>
      <c r="G85" s="503"/>
      <c r="H85" s="505"/>
      <c r="I85" s="505"/>
      <c r="J85" s="505"/>
      <c r="K85" s="505"/>
      <c r="L85" s="505"/>
      <c r="M85" s="505"/>
      <c r="N85" s="505"/>
      <c r="O85" s="505"/>
      <c r="P85" s="505"/>
      <c r="Q85" s="505"/>
      <c r="R85" s="505"/>
      <c r="S85" s="505"/>
      <c r="T85" s="505"/>
      <c r="U85" s="505"/>
      <c r="V85" s="505"/>
      <c r="W85" s="505"/>
      <c r="X85" s="505"/>
      <c r="Y85" s="505"/>
      <c r="Z85" s="505"/>
      <c r="AA85" s="505"/>
      <c r="AB85" s="504"/>
      <c r="AC85" s="504" t="str">
        <f t="shared" si="13"/>
        <v/>
      </c>
      <c r="AD85" s="504" t="str">
        <f t="shared" si="13"/>
        <v/>
      </c>
      <c r="AE85" s="504" t="str">
        <f t="shared" si="10"/>
        <v/>
      </c>
      <c r="AF85" s="504" t="str">
        <f t="shared" si="7"/>
        <v/>
      </c>
      <c r="AG85" s="504" t="str">
        <f t="shared" si="7"/>
        <v/>
      </c>
      <c r="AH85" s="504" t="str">
        <f t="shared" si="7"/>
        <v/>
      </c>
      <c r="AI85" s="504" t="str">
        <f t="shared" si="7"/>
        <v/>
      </c>
      <c r="AJ85" s="504" t="str">
        <f t="shared" si="7"/>
        <v/>
      </c>
      <c r="AK85" s="504" t="str">
        <f t="shared" si="7"/>
        <v/>
      </c>
      <c r="AL85" s="504" t="str">
        <f t="shared" si="7"/>
        <v/>
      </c>
      <c r="AM85" s="504" t="str">
        <f t="shared" si="7"/>
        <v/>
      </c>
      <c r="AN85" s="504" t="str">
        <f t="shared" si="7"/>
        <v/>
      </c>
      <c r="AO85" s="504" t="str">
        <f t="shared" si="7"/>
        <v/>
      </c>
      <c r="AP85" s="504" t="str">
        <f t="shared" si="7"/>
        <v/>
      </c>
      <c r="AQ85" s="504" t="str">
        <f t="shared" si="12"/>
        <v/>
      </c>
      <c r="AR85" s="504" t="str">
        <f t="shared" si="8"/>
        <v/>
      </c>
      <c r="AS85" s="504" t="str">
        <f t="shared" si="8"/>
        <v/>
      </c>
      <c r="AT85" s="504" t="str">
        <f t="shared" si="8"/>
        <v/>
      </c>
      <c r="AU85" s="504" t="str">
        <f t="shared" si="8"/>
        <v/>
      </c>
      <c r="AV85" s="504" t="str">
        <f t="shared" si="8"/>
        <v/>
      </c>
      <c r="AW85" s="504" t="str">
        <f t="shared" si="8"/>
        <v/>
      </c>
      <c r="AX85" s="504" t="str">
        <f t="shared" si="8"/>
        <v/>
      </c>
      <c r="AY85" s="504" t="str">
        <f t="shared" si="11"/>
        <v/>
      </c>
      <c r="AZ85" s="504" t="str">
        <f t="shared" si="9"/>
        <v/>
      </c>
      <c r="BA85" s="504" t="str">
        <f t="shared" si="9"/>
        <v/>
      </c>
      <c r="BB85" s="504" t="str">
        <f t="shared" si="9"/>
        <v/>
      </c>
      <c r="BC85" s="504" t="str">
        <f t="shared" si="9"/>
        <v/>
      </c>
      <c r="BD85" s="504" t="str">
        <f t="shared" si="9"/>
        <v/>
      </c>
      <c r="BE85" s="504" t="str">
        <f t="shared" si="9"/>
        <v/>
      </c>
      <c r="BF85" s="38"/>
    </row>
    <row r="86" spans="2:58" s="92" customFormat="1" ht="15.6" x14ac:dyDescent="0.3">
      <c r="B86" s="119"/>
      <c r="C86" s="502" t="str">
        <f>+IF(AC$57&lt;=$G$53,AC$57,"")</f>
        <v/>
      </c>
      <c r="D86" s="509"/>
      <c r="E86" s="510"/>
      <c r="F86" s="511"/>
      <c r="G86" s="503"/>
      <c r="H86" s="505"/>
      <c r="I86" s="505"/>
      <c r="J86" s="505"/>
      <c r="K86" s="505"/>
      <c r="L86" s="505"/>
      <c r="M86" s="505"/>
      <c r="N86" s="505"/>
      <c r="O86" s="505"/>
      <c r="P86" s="505"/>
      <c r="Q86" s="505"/>
      <c r="R86" s="505"/>
      <c r="S86" s="505"/>
      <c r="T86" s="505"/>
      <c r="U86" s="505"/>
      <c r="V86" s="505"/>
      <c r="W86" s="505"/>
      <c r="X86" s="505"/>
      <c r="Y86" s="505"/>
      <c r="Z86" s="505"/>
      <c r="AA86" s="505"/>
      <c r="AB86" s="505"/>
      <c r="AC86" s="504"/>
      <c r="AD86" s="504" t="str">
        <f t="shared" si="13"/>
        <v/>
      </c>
      <c r="AE86" s="504" t="str">
        <f t="shared" si="10"/>
        <v/>
      </c>
      <c r="AF86" s="504" t="str">
        <f t="shared" si="7"/>
        <v/>
      </c>
      <c r="AG86" s="504" t="str">
        <f t="shared" si="7"/>
        <v/>
      </c>
      <c r="AH86" s="504" t="str">
        <f t="shared" si="7"/>
        <v/>
      </c>
      <c r="AI86" s="504" t="str">
        <f t="shared" si="7"/>
        <v/>
      </c>
      <c r="AJ86" s="504" t="str">
        <f t="shared" si="7"/>
        <v/>
      </c>
      <c r="AK86" s="504" t="str">
        <f t="shared" si="7"/>
        <v/>
      </c>
      <c r="AL86" s="504" t="str">
        <f t="shared" si="7"/>
        <v/>
      </c>
      <c r="AM86" s="504" t="str">
        <f t="shared" si="7"/>
        <v/>
      </c>
      <c r="AN86" s="504" t="str">
        <f t="shared" si="7"/>
        <v/>
      </c>
      <c r="AO86" s="504" t="str">
        <f t="shared" si="7"/>
        <v/>
      </c>
      <c r="AP86" s="504" t="str">
        <f t="shared" si="7"/>
        <v/>
      </c>
      <c r="AQ86" s="504" t="str">
        <f t="shared" si="12"/>
        <v/>
      </c>
      <c r="AR86" s="504" t="str">
        <f t="shared" si="8"/>
        <v/>
      </c>
      <c r="AS86" s="504" t="str">
        <f t="shared" si="8"/>
        <v/>
      </c>
      <c r="AT86" s="504" t="str">
        <f t="shared" si="8"/>
        <v/>
      </c>
      <c r="AU86" s="504" t="str">
        <f t="shared" si="8"/>
        <v/>
      </c>
      <c r="AV86" s="504" t="str">
        <f t="shared" si="8"/>
        <v/>
      </c>
      <c r="AW86" s="504" t="str">
        <f t="shared" si="8"/>
        <v/>
      </c>
      <c r="AX86" s="504" t="str">
        <f t="shared" si="8"/>
        <v/>
      </c>
      <c r="AY86" s="504" t="str">
        <f t="shared" si="11"/>
        <v/>
      </c>
      <c r="AZ86" s="504" t="str">
        <f t="shared" si="9"/>
        <v/>
      </c>
      <c r="BA86" s="504" t="str">
        <f t="shared" si="9"/>
        <v/>
      </c>
      <c r="BB86" s="504" t="str">
        <f t="shared" si="9"/>
        <v/>
      </c>
      <c r="BC86" s="504" t="str">
        <f t="shared" si="9"/>
        <v/>
      </c>
      <c r="BD86" s="504" t="str">
        <f t="shared" si="9"/>
        <v/>
      </c>
      <c r="BE86" s="504" t="str">
        <f t="shared" si="9"/>
        <v/>
      </c>
      <c r="BF86" s="38"/>
    </row>
    <row r="87" spans="2:58" s="92" customFormat="1" ht="15.6" x14ac:dyDescent="0.3">
      <c r="B87" s="119"/>
      <c r="C87" s="502" t="str">
        <f>+IF(AD$57&lt;=$G$53,AD$57,"")</f>
        <v/>
      </c>
      <c r="D87" s="509"/>
      <c r="E87" s="510"/>
      <c r="F87" s="511"/>
      <c r="G87" s="503"/>
      <c r="H87" s="505"/>
      <c r="I87" s="505"/>
      <c r="J87" s="505"/>
      <c r="K87" s="505"/>
      <c r="L87" s="505"/>
      <c r="M87" s="505"/>
      <c r="N87" s="505"/>
      <c r="O87" s="505"/>
      <c r="P87" s="505"/>
      <c r="Q87" s="505"/>
      <c r="R87" s="505"/>
      <c r="S87" s="505"/>
      <c r="T87" s="505"/>
      <c r="U87" s="505"/>
      <c r="V87" s="505"/>
      <c r="W87" s="505"/>
      <c r="X87" s="505"/>
      <c r="Y87" s="505"/>
      <c r="Z87" s="505"/>
      <c r="AA87" s="505"/>
      <c r="AB87" s="505"/>
      <c r="AC87" s="505"/>
      <c r="AD87" s="504"/>
      <c r="AE87" s="504" t="str">
        <f t="shared" si="10"/>
        <v/>
      </c>
      <c r="AF87" s="504" t="str">
        <f t="shared" si="7"/>
        <v/>
      </c>
      <c r="AG87" s="504" t="str">
        <f t="shared" si="7"/>
        <v/>
      </c>
      <c r="AH87" s="504" t="str">
        <f t="shared" si="7"/>
        <v/>
      </c>
      <c r="AI87" s="504" t="str">
        <f t="shared" si="7"/>
        <v/>
      </c>
      <c r="AJ87" s="504" t="str">
        <f t="shared" si="7"/>
        <v/>
      </c>
      <c r="AK87" s="504" t="str">
        <f t="shared" si="7"/>
        <v/>
      </c>
      <c r="AL87" s="504" t="str">
        <f t="shared" si="7"/>
        <v/>
      </c>
      <c r="AM87" s="504" t="str">
        <f t="shared" si="7"/>
        <v/>
      </c>
      <c r="AN87" s="504" t="str">
        <f t="shared" si="7"/>
        <v/>
      </c>
      <c r="AO87" s="504" t="str">
        <f t="shared" si="7"/>
        <v/>
      </c>
      <c r="AP87" s="504" t="str">
        <f t="shared" si="7"/>
        <v/>
      </c>
      <c r="AQ87" s="504" t="str">
        <f t="shared" si="12"/>
        <v/>
      </c>
      <c r="AR87" s="504" t="str">
        <f t="shared" si="8"/>
        <v/>
      </c>
      <c r="AS87" s="504" t="str">
        <f t="shared" si="8"/>
        <v/>
      </c>
      <c r="AT87" s="504" t="str">
        <f t="shared" si="8"/>
        <v/>
      </c>
      <c r="AU87" s="504" t="str">
        <f t="shared" si="8"/>
        <v/>
      </c>
      <c r="AV87" s="504" t="str">
        <f t="shared" si="8"/>
        <v/>
      </c>
      <c r="AW87" s="504" t="str">
        <f t="shared" si="8"/>
        <v/>
      </c>
      <c r="AX87" s="504" t="str">
        <f t="shared" si="8"/>
        <v/>
      </c>
      <c r="AY87" s="504" t="str">
        <f t="shared" si="11"/>
        <v/>
      </c>
      <c r="AZ87" s="504" t="str">
        <f t="shared" si="9"/>
        <v/>
      </c>
      <c r="BA87" s="504" t="str">
        <f t="shared" si="9"/>
        <v/>
      </c>
      <c r="BB87" s="504" t="str">
        <f t="shared" si="9"/>
        <v/>
      </c>
      <c r="BC87" s="504" t="str">
        <f t="shared" si="9"/>
        <v/>
      </c>
      <c r="BD87" s="504" t="str">
        <f t="shared" si="9"/>
        <v/>
      </c>
      <c r="BE87" s="504" t="str">
        <f t="shared" si="9"/>
        <v/>
      </c>
      <c r="BF87" s="38"/>
    </row>
    <row r="88" spans="2:58" s="92" customFormat="1" ht="15.6" x14ac:dyDescent="0.3">
      <c r="B88" s="119"/>
      <c r="C88" s="502" t="str">
        <f>+IF(AE$57&lt;=$G$53,AE$57,"")</f>
        <v/>
      </c>
      <c r="D88" s="509"/>
      <c r="E88" s="510"/>
      <c r="F88" s="511"/>
      <c r="G88" s="503"/>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4"/>
      <c r="AF88" s="504" t="str">
        <f t="shared" ref="AF88" si="14">IF(ISERROR($F88*$E88*EXP(-$F88*(AF$57-$C88+0.5))*$D88),"",$F88*$E88*EXP(-$F88*(AF$57-$C88+0.5))*$D88)</f>
        <v/>
      </c>
      <c r="AG88" s="504" t="str">
        <f t="shared" ref="AG88:AP98" si="15">IF(ISERROR($F88*$E88*EXP(-$F88*(AG$57-$C88))*$D88),"",$F88*$E88*EXP(-$F88*(AG$57-$C88))*$D88)</f>
        <v/>
      </c>
      <c r="AH88" s="504" t="str">
        <f t="shared" si="15"/>
        <v/>
      </c>
      <c r="AI88" s="504" t="str">
        <f t="shared" si="15"/>
        <v/>
      </c>
      <c r="AJ88" s="504" t="str">
        <f t="shared" si="15"/>
        <v/>
      </c>
      <c r="AK88" s="504" t="str">
        <f t="shared" si="15"/>
        <v/>
      </c>
      <c r="AL88" s="504" t="str">
        <f t="shared" si="15"/>
        <v/>
      </c>
      <c r="AM88" s="504" t="str">
        <f t="shared" si="15"/>
        <v/>
      </c>
      <c r="AN88" s="504" t="str">
        <f t="shared" si="15"/>
        <v/>
      </c>
      <c r="AO88" s="504" t="str">
        <f t="shared" si="15"/>
        <v/>
      </c>
      <c r="AP88" s="504" t="str">
        <f t="shared" si="15"/>
        <v/>
      </c>
      <c r="AQ88" s="504" t="str">
        <f t="shared" si="12"/>
        <v/>
      </c>
      <c r="AR88" s="504" t="str">
        <f t="shared" si="8"/>
        <v/>
      </c>
      <c r="AS88" s="504" t="str">
        <f t="shared" si="8"/>
        <v/>
      </c>
      <c r="AT88" s="504" t="str">
        <f t="shared" si="8"/>
        <v/>
      </c>
      <c r="AU88" s="504" t="str">
        <f t="shared" si="8"/>
        <v/>
      </c>
      <c r="AV88" s="504" t="str">
        <f t="shared" si="8"/>
        <v/>
      </c>
      <c r="AW88" s="504" t="str">
        <f t="shared" si="8"/>
        <v/>
      </c>
      <c r="AX88" s="504" t="str">
        <f t="shared" si="8"/>
        <v/>
      </c>
      <c r="AY88" s="504" t="str">
        <f t="shared" si="11"/>
        <v/>
      </c>
      <c r="AZ88" s="504" t="str">
        <f t="shared" si="9"/>
        <v/>
      </c>
      <c r="BA88" s="504" t="str">
        <f t="shared" si="9"/>
        <v/>
      </c>
      <c r="BB88" s="504" t="str">
        <f t="shared" si="9"/>
        <v/>
      </c>
      <c r="BC88" s="504" t="str">
        <f t="shared" si="9"/>
        <v/>
      </c>
      <c r="BD88" s="504" t="str">
        <f t="shared" si="9"/>
        <v/>
      </c>
      <c r="BE88" s="504" t="str">
        <f t="shared" si="9"/>
        <v/>
      </c>
      <c r="BF88" s="38"/>
    </row>
    <row r="89" spans="2:58" s="92" customFormat="1" ht="15.6" x14ac:dyDescent="0.3">
      <c r="B89" s="119"/>
      <c r="C89" s="502" t="str">
        <f>+IF(AF$57&lt;=$G$53,AF$57,"")</f>
        <v/>
      </c>
      <c r="D89" s="509"/>
      <c r="E89" s="510"/>
      <c r="F89" s="511"/>
      <c r="G89" s="503"/>
      <c r="H89" s="505"/>
      <c r="I89" s="505"/>
      <c r="J89" s="505"/>
      <c r="K89" s="505"/>
      <c r="L89" s="505"/>
      <c r="M89" s="505"/>
      <c r="N89" s="505"/>
      <c r="O89" s="505"/>
      <c r="P89" s="505"/>
      <c r="Q89" s="505"/>
      <c r="R89" s="505"/>
      <c r="S89" s="505"/>
      <c r="T89" s="505"/>
      <c r="U89" s="505"/>
      <c r="V89" s="505"/>
      <c r="W89" s="505"/>
      <c r="X89" s="505"/>
      <c r="Y89" s="505"/>
      <c r="Z89" s="505"/>
      <c r="AA89" s="505"/>
      <c r="AB89" s="505"/>
      <c r="AC89" s="505"/>
      <c r="AD89" s="505"/>
      <c r="AE89" s="505"/>
      <c r="AF89" s="504"/>
      <c r="AG89" s="504" t="str">
        <f t="shared" si="15"/>
        <v/>
      </c>
      <c r="AH89" s="504" t="str">
        <f t="shared" si="15"/>
        <v/>
      </c>
      <c r="AI89" s="504" t="str">
        <f t="shared" si="15"/>
        <v/>
      </c>
      <c r="AJ89" s="504" t="str">
        <f t="shared" si="15"/>
        <v/>
      </c>
      <c r="AK89" s="504" t="str">
        <f t="shared" si="15"/>
        <v/>
      </c>
      <c r="AL89" s="504" t="str">
        <f t="shared" si="15"/>
        <v/>
      </c>
      <c r="AM89" s="504" t="str">
        <f t="shared" si="15"/>
        <v/>
      </c>
      <c r="AN89" s="504" t="str">
        <f t="shared" si="15"/>
        <v/>
      </c>
      <c r="AO89" s="504" t="str">
        <f t="shared" si="15"/>
        <v/>
      </c>
      <c r="AP89" s="504" t="str">
        <f t="shared" si="15"/>
        <v/>
      </c>
      <c r="AQ89" s="504" t="str">
        <f t="shared" si="12"/>
        <v/>
      </c>
      <c r="AR89" s="504" t="str">
        <f t="shared" si="8"/>
        <v/>
      </c>
      <c r="AS89" s="504" t="str">
        <f t="shared" si="8"/>
        <v/>
      </c>
      <c r="AT89" s="504" t="str">
        <f t="shared" si="8"/>
        <v/>
      </c>
      <c r="AU89" s="504" t="str">
        <f t="shared" si="8"/>
        <v/>
      </c>
      <c r="AV89" s="504" t="str">
        <f t="shared" si="8"/>
        <v/>
      </c>
      <c r="AW89" s="504" t="str">
        <f t="shared" si="8"/>
        <v/>
      </c>
      <c r="AX89" s="504" t="str">
        <f t="shared" si="8"/>
        <v/>
      </c>
      <c r="AY89" s="504" t="str">
        <f t="shared" si="11"/>
        <v/>
      </c>
      <c r="AZ89" s="504" t="str">
        <f t="shared" si="9"/>
        <v/>
      </c>
      <c r="BA89" s="504" t="str">
        <f t="shared" si="9"/>
        <v/>
      </c>
      <c r="BB89" s="504" t="str">
        <f t="shared" si="9"/>
        <v/>
      </c>
      <c r="BC89" s="504" t="str">
        <f t="shared" si="9"/>
        <v/>
      </c>
      <c r="BD89" s="504" t="str">
        <f t="shared" si="9"/>
        <v/>
      </c>
      <c r="BE89" s="504" t="str">
        <f t="shared" si="9"/>
        <v/>
      </c>
      <c r="BF89" s="38"/>
    </row>
    <row r="90" spans="2:58" s="92" customFormat="1" ht="15.6" x14ac:dyDescent="0.3">
      <c r="B90" s="119"/>
      <c r="C90" s="502" t="str">
        <f>+IF(AG$57&lt;=$G$53,AG$57,"")</f>
        <v/>
      </c>
      <c r="D90" s="509"/>
      <c r="E90" s="510"/>
      <c r="F90" s="511"/>
      <c r="G90" s="503"/>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4"/>
      <c r="AH90" s="504" t="str">
        <f t="shared" si="15"/>
        <v/>
      </c>
      <c r="AI90" s="504" t="str">
        <f t="shared" si="15"/>
        <v/>
      </c>
      <c r="AJ90" s="504" t="str">
        <f t="shared" si="15"/>
        <v/>
      </c>
      <c r="AK90" s="504" t="str">
        <f t="shared" si="15"/>
        <v/>
      </c>
      <c r="AL90" s="504" t="str">
        <f t="shared" si="15"/>
        <v/>
      </c>
      <c r="AM90" s="504" t="str">
        <f t="shared" si="15"/>
        <v/>
      </c>
      <c r="AN90" s="504" t="str">
        <f t="shared" si="15"/>
        <v/>
      </c>
      <c r="AO90" s="504" t="str">
        <f t="shared" si="15"/>
        <v/>
      </c>
      <c r="AP90" s="504" t="str">
        <f t="shared" si="15"/>
        <v/>
      </c>
      <c r="AQ90" s="504" t="str">
        <f t="shared" si="12"/>
        <v/>
      </c>
      <c r="AR90" s="504" t="str">
        <f t="shared" si="8"/>
        <v/>
      </c>
      <c r="AS90" s="504" t="str">
        <f t="shared" si="8"/>
        <v/>
      </c>
      <c r="AT90" s="504" t="str">
        <f t="shared" si="8"/>
        <v/>
      </c>
      <c r="AU90" s="504" t="str">
        <f t="shared" si="8"/>
        <v/>
      </c>
      <c r="AV90" s="504" t="str">
        <f t="shared" si="8"/>
        <v/>
      </c>
      <c r="AW90" s="504" t="str">
        <f t="shared" si="8"/>
        <v/>
      </c>
      <c r="AX90" s="504" t="str">
        <f t="shared" si="8"/>
        <v/>
      </c>
      <c r="AY90" s="504" t="str">
        <f t="shared" si="11"/>
        <v/>
      </c>
      <c r="AZ90" s="504" t="str">
        <f t="shared" si="9"/>
        <v/>
      </c>
      <c r="BA90" s="504" t="str">
        <f t="shared" si="9"/>
        <v/>
      </c>
      <c r="BB90" s="504" t="str">
        <f t="shared" si="9"/>
        <v/>
      </c>
      <c r="BC90" s="504" t="str">
        <f t="shared" si="9"/>
        <v/>
      </c>
      <c r="BD90" s="504" t="str">
        <f t="shared" si="9"/>
        <v/>
      </c>
      <c r="BE90" s="504" t="str">
        <f t="shared" si="9"/>
        <v/>
      </c>
      <c r="BF90" s="38"/>
    </row>
    <row r="91" spans="2:58" s="92" customFormat="1" ht="15.6" x14ac:dyDescent="0.3">
      <c r="B91" s="119"/>
      <c r="C91" s="502" t="str">
        <f>+IF(AH$57&lt;=$G$53,AH$57,"")</f>
        <v/>
      </c>
      <c r="D91" s="509"/>
      <c r="E91" s="510"/>
      <c r="F91" s="511"/>
      <c r="G91" s="503"/>
      <c r="H91" s="505"/>
      <c r="I91" s="505"/>
      <c r="J91" s="505"/>
      <c r="K91" s="505"/>
      <c r="L91" s="505"/>
      <c r="M91" s="505"/>
      <c r="N91" s="505"/>
      <c r="O91" s="505"/>
      <c r="P91" s="505"/>
      <c r="Q91" s="505"/>
      <c r="R91" s="505"/>
      <c r="S91" s="505"/>
      <c r="T91" s="505"/>
      <c r="U91" s="505"/>
      <c r="V91" s="505"/>
      <c r="W91" s="505"/>
      <c r="X91" s="505"/>
      <c r="Y91" s="505"/>
      <c r="Z91" s="505"/>
      <c r="AA91" s="505"/>
      <c r="AB91" s="505"/>
      <c r="AC91" s="505"/>
      <c r="AD91" s="505"/>
      <c r="AE91" s="505"/>
      <c r="AF91" s="505"/>
      <c r="AG91" s="505"/>
      <c r="AH91" s="504"/>
      <c r="AI91" s="504" t="str">
        <f t="shared" si="15"/>
        <v/>
      </c>
      <c r="AJ91" s="504" t="str">
        <f t="shared" si="15"/>
        <v/>
      </c>
      <c r="AK91" s="504" t="str">
        <f t="shared" si="15"/>
        <v/>
      </c>
      <c r="AL91" s="504" t="str">
        <f t="shared" si="15"/>
        <v/>
      </c>
      <c r="AM91" s="504" t="str">
        <f t="shared" si="15"/>
        <v/>
      </c>
      <c r="AN91" s="504" t="str">
        <f t="shared" si="15"/>
        <v/>
      </c>
      <c r="AO91" s="504" t="str">
        <f t="shared" si="15"/>
        <v/>
      </c>
      <c r="AP91" s="504" t="str">
        <f t="shared" si="15"/>
        <v/>
      </c>
      <c r="AQ91" s="504" t="str">
        <f t="shared" si="12"/>
        <v/>
      </c>
      <c r="AR91" s="504" t="str">
        <f t="shared" si="8"/>
        <v/>
      </c>
      <c r="AS91" s="504" t="str">
        <f t="shared" si="8"/>
        <v/>
      </c>
      <c r="AT91" s="504" t="str">
        <f t="shared" si="8"/>
        <v/>
      </c>
      <c r="AU91" s="504" t="str">
        <f t="shared" si="8"/>
        <v/>
      </c>
      <c r="AV91" s="504" t="str">
        <f t="shared" si="8"/>
        <v/>
      </c>
      <c r="AW91" s="504" t="str">
        <f t="shared" si="8"/>
        <v/>
      </c>
      <c r="AX91" s="504" t="str">
        <f t="shared" si="8"/>
        <v/>
      </c>
      <c r="AY91" s="504" t="str">
        <f t="shared" si="11"/>
        <v/>
      </c>
      <c r="AZ91" s="504" t="str">
        <f t="shared" si="9"/>
        <v/>
      </c>
      <c r="BA91" s="504" t="str">
        <f t="shared" si="9"/>
        <v/>
      </c>
      <c r="BB91" s="504" t="str">
        <f t="shared" si="9"/>
        <v/>
      </c>
      <c r="BC91" s="504" t="str">
        <f t="shared" si="9"/>
        <v/>
      </c>
      <c r="BD91" s="504" t="str">
        <f t="shared" si="9"/>
        <v/>
      </c>
      <c r="BE91" s="504" t="str">
        <f t="shared" si="9"/>
        <v/>
      </c>
      <c r="BF91" s="38"/>
    </row>
    <row r="92" spans="2:58" s="92" customFormat="1" ht="15.6" x14ac:dyDescent="0.3">
      <c r="B92" s="119"/>
      <c r="C92" s="502" t="str">
        <f>+IF(AI$57&lt;=$G$53,AI$57,"")</f>
        <v/>
      </c>
      <c r="D92" s="509"/>
      <c r="E92" s="510"/>
      <c r="F92" s="511"/>
      <c r="G92" s="503"/>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4"/>
      <c r="AJ92" s="504" t="str">
        <f t="shared" si="15"/>
        <v/>
      </c>
      <c r="AK92" s="504" t="str">
        <f t="shared" si="15"/>
        <v/>
      </c>
      <c r="AL92" s="504" t="str">
        <f t="shared" si="15"/>
        <v/>
      </c>
      <c r="AM92" s="504" t="str">
        <f t="shared" si="15"/>
        <v/>
      </c>
      <c r="AN92" s="504" t="str">
        <f t="shared" si="15"/>
        <v/>
      </c>
      <c r="AO92" s="504" t="str">
        <f t="shared" si="15"/>
        <v/>
      </c>
      <c r="AP92" s="504" t="str">
        <f t="shared" si="15"/>
        <v/>
      </c>
      <c r="AQ92" s="504" t="str">
        <f t="shared" si="12"/>
        <v/>
      </c>
      <c r="AR92" s="504" t="str">
        <f t="shared" si="8"/>
        <v/>
      </c>
      <c r="AS92" s="504" t="str">
        <f t="shared" si="8"/>
        <v/>
      </c>
      <c r="AT92" s="504" t="str">
        <f t="shared" si="8"/>
        <v/>
      </c>
      <c r="AU92" s="504" t="str">
        <f t="shared" si="8"/>
        <v/>
      </c>
      <c r="AV92" s="504" t="str">
        <f t="shared" si="8"/>
        <v/>
      </c>
      <c r="AW92" s="504" t="str">
        <f t="shared" si="8"/>
        <v/>
      </c>
      <c r="AX92" s="504" t="str">
        <f t="shared" si="8"/>
        <v/>
      </c>
      <c r="AY92" s="504" t="str">
        <f t="shared" si="11"/>
        <v/>
      </c>
      <c r="AZ92" s="504" t="str">
        <f t="shared" si="9"/>
        <v/>
      </c>
      <c r="BA92" s="504" t="str">
        <f t="shared" si="9"/>
        <v/>
      </c>
      <c r="BB92" s="504" t="str">
        <f t="shared" si="9"/>
        <v/>
      </c>
      <c r="BC92" s="504" t="str">
        <f t="shared" si="9"/>
        <v/>
      </c>
      <c r="BD92" s="504" t="str">
        <f t="shared" si="9"/>
        <v/>
      </c>
      <c r="BE92" s="504" t="str">
        <f t="shared" si="9"/>
        <v/>
      </c>
      <c r="BF92" s="38"/>
    </row>
    <row r="93" spans="2:58" s="92" customFormat="1" ht="18" customHeight="1" x14ac:dyDescent="0.3">
      <c r="B93" s="119"/>
      <c r="C93" s="502" t="str">
        <f>+IF(AJ$57&lt;=$G$53,AJ$57,"")</f>
        <v/>
      </c>
      <c r="D93" s="509"/>
      <c r="E93" s="510"/>
      <c r="F93" s="511"/>
      <c r="G93" s="503"/>
      <c r="H93" s="505"/>
      <c r="I93" s="505"/>
      <c r="J93" s="505"/>
      <c r="K93" s="505"/>
      <c r="L93" s="505"/>
      <c r="M93" s="505"/>
      <c r="N93" s="505"/>
      <c r="O93" s="505"/>
      <c r="P93" s="505"/>
      <c r="Q93" s="505"/>
      <c r="R93" s="505"/>
      <c r="S93" s="505"/>
      <c r="T93" s="505"/>
      <c r="U93" s="505"/>
      <c r="V93" s="505"/>
      <c r="W93" s="505"/>
      <c r="X93" s="505"/>
      <c r="Y93" s="505"/>
      <c r="Z93" s="505"/>
      <c r="AA93" s="505"/>
      <c r="AB93" s="505"/>
      <c r="AC93" s="505"/>
      <c r="AD93" s="505"/>
      <c r="AE93" s="505"/>
      <c r="AF93" s="505"/>
      <c r="AG93" s="505"/>
      <c r="AH93" s="505"/>
      <c r="AI93" s="505"/>
      <c r="AJ93" s="504"/>
      <c r="AK93" s="504" t="str">
        <f t="shared" si="15"/>
        <v/>
      </c>
      <c r="AL93" s="504" t="str">
        <f t="shared" si="15"/>
        <v/>
      </c>
      <c r="AM93" s="504" t="str">
        <f t="shared" si="15"/>
        <v/>
      </c>
      <c r="AN93" s="504" t="str">
        <f t="shared" si="15"/>
        <v/>
      </c>
      <c r="AO93" s="504" t="str">
        <f t="shared" si="15"/>
        <v/>
      </c>
      <c r="AP93" s="504" t="str">
        <f t="shared" si="15"/>
        <v/>
      </c>
      <c r="AQ93" s="504" t="str">
        <f t="shared" si="12"/>
        <v/>
      </c>
      <c r="AR93" s="504" t="str">
        <f t="shared" si="8"/>
        <v/>
      </c>
      <c r="AS93" s="504" t="str">
        <f t="shared" si="8"/>
        <v/>
      </c>
      <c r="AT93" s="504" t="str">
        <f t="shared" si="8"/>
        <v/>
      </c>
      <c r="AU93" s="504" t="str">
        <f t="shared" si="8"/>
        <v/>
      </c>
      <c r="AV93" s="504" t="str">
        <f t="shared" si="8"/>
        <v/>
      </c>
      <c r="AW93" s="504" t="str">
        <f t="shared" si="8"/>
        <v/>
      </c>
      <c r="AX93" s="504" t="str">
        <f t="shared" si="8"/>
        <v/>
      </c>
      <c r="AY93" s="504" t="str">
        <f t="shared" si="11"/>
        <v/>
      </c>
      <c r="AZ93" s="504" t="str">
        <f t="shared" si="9"/>
        <v/>
      </c>
      <c r="BA93" s="504" t="str">
        <f t="shared" si="9"/>
        <v/>
      </c>
      <c r="BB93" s="504" t="str">
        <f t="shared" si="9"/>
        <v/>
      </c>
      <c r="BC93" s="504" t="str">
        <f t="shared" si="9"/>
        <v/>
      </c>
      <c r="BD93" s="504" t="str">
        <f t="shared" si="9"/>
        <v/>
      </c>
      <c r="BE93" s="504" t="str">
        <f t="shared" si="9"/>
        <v/>
      </c>
      <c r="BF93" s="38"/>
    </row>
    <row r="94" spans="2:58" s="92" customFormat="1" ht="18" customHeight="1" x14ac:dyDescent="0.3">
      <c r="B94" s="119"/>
      <c r="C94" s="502" t="str">
        <f>+IF(AK$57&lt;=$G$53,AK$57,"")</f>
        <v/>
      </c>
      <c r="D94" s="509"/>
      <c r="E94" s="510"/>
      <c r="F94" s="511"/>
      <c r="G94" s="503"/>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4"/>
      <c r="AL94" s="504" t="str">
        <f t="shared" si="15"/>
        <v/>
      </c>
      <c r="AM94" s="504" t="str">
        <f t="shared" si="15"/>
        <v/>
      </c>
      <c r="AN94" s="504" t="str">
        <f t="shared" si="15"/>
        <v/>
      </c>
      <c r="AO94" s="504" t="str">
        <f t="shared" si="15"/>
        <v/>
      </c>
      <c r="AP94" s="504" t="str">
        <f t="shared" si="15"/>
        <v/>
      </c>
      <c r="AQ94" s="504" t="str">
        <f t="shared" si="12"/>
        <v/>
      </c>
      <c r="AR94" s="504" t="str">
        <f t="shared" si="8"/>
        <v/>
      </c>
      <c r="AS94" s="504" t="str">
        <f t="shared" si="8"/>
        <v/>
      </c>
      <c r="AT94" s="504" t="str">
        <f t="shared" si="8"/>
        <v/>
      </c>
      <c r="AU94" s="504" t="str">
        <f t="shared" si="8"/>
        <v/>
      </c>
      <c r="AV94" s="504" t="str">
        <f t="shared" si="8"/>
        <v/>
      </c>
      <c r="AW94" s="504" t="str">
        <f t="shared" si="8"/>
        <v/>
      </c>
      <c r="AX94" s="504" t="str">
        <f t="shared" si="8"/>
        <v/>
      </c>
      <c r="AY94" s="504" t="str">
        <f t="shared" si="11"/>
        <v/>
      </c>
      <c r="AZ94" s="504" t="str">
        <f t="shared" si="9"/>
        <v/>
      </c>
      <c r="BA94" s="504" t="str">
        <f t="shared" si="9"/>
        <v/>
      </c>
      <c r="BB94" s="504" t="str">
        <f t="shared" si="9"/>
        <v/>
      </c>
      <c r="BC94" s="504" t="str">
        <f t="shared" si="9"/>
        <v/>
      </c>
      <c r="BD94" s="504" t="str">
        <f t="shared" si="9"/>
        <v/>
      </c>
      <c r="BE94" s="504" t="str">
        <f t="shared" si="9"/>
        <v/>
      </c>
      <c r="BF94" s="38"/>
    </row>
    <row r="95" spans="2:58" s="92" customFormat="1" ht="18" customHeight="1" x14ac:dyDescent="0.3">
      <c r="B95" s="119"/>
      <c r="C95" s="502" t="str">
        <f>+IF(AL$57&lt;=$G$53,AL$57,"")</f>
        <v/>
      </c>
      <c r="D95" s="509"/>
      <c r="E95" s="510"/>
      <c r="F95" s="511"/>
      <c r="G95" s="503"/>
      <c r="H95" s="505"/>
      <c r="I95" s="505"/>
      <c r="J95" s="505"/>
      <c r="K95" s="505"/>
      <c r="L95" s="505"/>
      <c r="M95" s="505"/>
      <c r="N95" s="505"/>
      <c r="O95" s="505"/>
      <c r="P95" s="505"/>
      <c r="Q95" s="505"/>
      <c r="R95" s="505"/>
      <c r="S95" s="505"/>
      <c r="T95" s="505"/>
      <c r="U95" s="505"/>
      <c r="V95" s="505"/>
      <c r="W95" s="505"/>
      <c r="X95" s="505"/>
      <c r="Y95" s="505"/>
      <c r="Z95" s="505"/>
      <c r="AA95" s="505"/>
      <c r="AB95" s="505"/>
      <c r="AC95" s="505"/>
      <c r="AD95" s="505"/>
      <c r="AE95" s="505"/>
      <c r="AF95" s="505"/>
      <c r="AG95" s="505"/>
      <c r="AH95" s="505"/>
      <c r="AI95" s="505"/>
      <c r="AJ95" s="505"/>
      <c r="AK95" s="505"/>
      <c r="AL95" s="504"/>
      <c r="AM95" s="504" t="str">
        <f t="shared" si="15"/>
        <v/>
      </c>
      <c r="AN95" s="504" t="str">
        <f t="shared" si="15"/>
        <v/>
      </c>
      <c r="AO95" s="504" t="str">
        <f t="shared" si="15"/>
        <v/>
      </c>
      <c r="AP95" s="504" t="str">
        <f t="shared" si="15"/>
        <v/>
      </c>
      <c r="AQ95" s="504" t="str">
        <f t="shared" si="12"/>
        <v/>
      </c>
      <c r="AR95" s="504" t="str">
        <f t="shared" si="8"/>
        <v/>
      </c>
      <c r="AS95" s="504" t="str">
        <f t="shared" si="8"/>
        <v/>
      </c>
      <c r="AT95" s="504" t="str">
        <f t="shared" si="8"/>
        <v/>
      </c>
      <c r="AU95" s="504" t="str">
        <f t="shared" si="8"/>
        <v/>
      </c>
      <c r="AV95" s="504" t="str">
        <f t="shared" si="8"/>
        <v/>
      </c>
      <c r="AW95" s="504" t="str">
        <f t="shared" si="8"/>
        <v/>
      </c>
      <c r="AX95" s="504" t="str">
        <f t="shared" si="8"/>
        <v/>
      </c>
      <c r="AY95" s="504" t="str">
        <f t="shared" si="11"/>
        <v/>
      </c>
      <c r="AZ95" s="504" t="str">
        <f t="shared" si="9"/>
        <v/>
      </c>
      <c r="BA95" s="504" t="str">
        <f t="shared" si="9"/>
        <v/>
      </c>
      <c r="BB95" s="504" t="str">
        <f t="shared" si="9"/>
        <v/>
      </c>
      <c r="BC95" s="504" t="str">
        <f t="shared" si="9"/>
        <v/>
      </c>
      <c r="BD95" s="504" t="str">
        <f t="shared" si="9"/>
        <v/>
      </c>
      <c r="BE95" s="504" t="str">
        <f t="shared" si="9"/>
        <v/>
      </c>
      <c r="BF95" s="38"/>
    </row>
    <row r="96" spans="2:58" s="92" customFormat="1" ht="18" customHeight="1" x14ac:dyDescent="0.3">
      <c r="B96" s="119"/>
      <c r="C96" s="502" t="str">
        <f>+IF(AM$57&lt;=$G$53,AM$57,"")</f>
        <v/>
      </c>
      <c r="D96" s="509"/>
      <c r="E96" s="510"/>
      <c r="F96" s="511"/>
      <c r="G96" s="503"/>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4"/>
      <c r="AN96" s="504" t="str">
        <f t="shared" si="15"/>
        <v/>
      </c>
      <c r="AO96" s="504" t="str">
        <f t="shared" si="15"/>
        <v/>
      </c>
      <c r="AP96" s="504" t="str">
        <f t="shared" si="15"/>
        <v/>
      </c>
      <c r="AQ96" s="504" t="str">
        <f t="shared" si="12"/>
        <v/>
      </c>
      <c r="AR96" s="504" t="str">
        <f t="shared" si="8"/>
        <v/>
      </c>
      <c r="AS96" s="504" t="str">
        <f t="shared" si="8"/>
        <v/>
      </c>
      <c r="AT96" s="504" t="str">
        <f t="shared" si="8"/>
        <v/>
      </c>
      <c r="AU96" s="504" t="str">
        <f t="shared" si="8"/>
        <v/>
      </c>
      <c r="AV96" s="504" t="str">
        <f t="shared" si="8"/>
        <v/>
      </c>
      <c r="AW96" s="504" t="str">
        <f t="shared" si="8"/>
        <v/>
      </c>
      <c r="AX96" s="504" t="str">
        <f t="shared" si="8"/>
        <v/>
      </c>
      <c r="AY96" s="504" t="str">
        <f t="shared" si="11"/>
        <v/>
      </c>
      <c r="AZ96" s="504" t="str">
        <f t="shared" si="9"/>
        <v/>
      </c>
      <c r="BA96" s="504" t="str">
        <f t="shared" si="9"/>
        <v/>
      </c>
      <c r="BB96" s="504" t="str">
        <f t="shared" si="9"/>
        <v/>
      </c>
      <c r="BC96" s="504" t="str">
        <f t="shared" si="9"/>
        <v/>
      </c>
      <c r="BD96" s="504" t="str">
        <f t="shared" si="9"/>
        <v/>
      </c>
      <c r="BE96" s="504" t="str">
        <f t="shared" si="9"/>
        <v/>
      </c>
      <c r="BF96" s="38"/>
    </row>
    <row r="97" spans="2:58" s="92" customFormat="1" ht="18" customHeight="1" x14ac:dyDescent="0.3">
      <c r="B97" s="119"/>
      <c r="C97" s="502" t="str">
        <f>+IF(AN$57&lt;=$G$53,AN$57,"")</f>
        <v/>
      </c>
      <c r="D97" s="509"/>
      <c r="E97" s="510"/>
      <c r="F97" s="511"/>
      <c r="G97" s="503"/>
      <c r="H97" s="505"/>
      <c r="I97" s="505"/>
      <c r="J97" s="505"/>
      <c r="K97" s="505"/>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4"/>
      <c r="AO97" s="504" t="str">
        <f t="shared" si="15"/>
        <v/>
      </c>
      <c r="AP97" s="504" t="str">
        <f t="shared" si="15"/>
        <v/>
      </c>
      <c r="AQ97" s="504" t="str">
        <f t="shared" si="12"/>
        <v/>
      </c>
      <c r="AR97" s="504" t="str">
        <f t="shared" si="8"/>
        <v/>
      </c>
      <c r="AS97" s="504" t="str">
        <f t="shared" si="8"/>
        <v/>
      </c>
      <c r="AT97" s="504" t="str">
        <f t="shared" si="8"/>
        <v/>
      </c>
      <c r="AU97" s="504" t="str">
        <f t="shared" si="8"/>
        <v/>
      </c>
      <c r="AV97" s="504" t="str">
        <f t="shared" si="8"/>
        <v/>
      </c>
      <c r="AW97" s="504" t="str">
        <f t="shared" si="8"/>
        <v/>
      </c>
      <c r="AX97" s="504" t="str">
        <f t="shared" si="8"/>
        <v/>
      </c>
      <c r="AY97" s="504" t="str">
        <f t="shared" si="11"/>
        <v/>
      </c>
      <c r="AZ97" s="504" t="str">
        <f t="shared" si="9"/>
        <v/>
      </c>
      <c r="BA97" s="504" t="str">
        <f t="shared" si="9"/>
        <v/>
      </c>
      <c r="BB97" s="504" t="str">
        <f t="shared" si="9"/>
        <v/>
      </c>
      <c r="BC97" s="504" t="str">
        <f t="shared" si="9"/>
        <v/>
      </c>
      <c r="BD97" s="504" t="str">
        <f t="shared" si="9"/>
        <v/>
      </c>
      <c r="BE97" s="504" t="str">
        <f t="shared" si="9"/>
        <v/>
      </c>
      <c r="BF97" s="38"/>
    </row>
    <row r="98" spans="2:58" s="92" customFormat="1" ht="18" customHeight="1" x14ac:dyDescent="0.3">
      <c r="B98" s="119"/>
      <c r="C98" s="502" t="str">
        <f>+IF(AO$57&lt;=$G$53,AO$57,"")</f>
        <v/>
      </c>
      <c r="D98" s="509"/>
      <c r="E98" s="510"/>
      <c r="F98" s="511"/>
      <c r="G98" s="503"/>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4"/>
      <c r="AP98" s="504" t="str">
        <f t="shared" si="15"/>
        <v/>
      </c>
      <c r="AQ98" s="504" t="str">
        <f t="shared" si="12"/>
        <v/>
      </c>
      <c r="AR98" s="504" t="str">
        <f t="shared" si="8"/>
        <v/>
      </c>
      <c r="AS98" s="504" t="str">
        <f t="shared" si="8"/>
        <v/>
      </c>
      <c r="AT98" s="504" t="str">
        <f t="shared" si="8"/>
        <v/>
      </c>
      <c r="AU98" s="504" t="str">
        <f t="shared" si="8"/>
        <v/>
      </c>
      <c r="AV98" s="504" t="str">
        <f t="shared" si="8"/>
        <v/>
      </c>
      <c r="AW98" s="504" t="str">
        <f t="shared" si="8"/>
        <v/>
      </c>
      <c r="AX98" s="504" t="str">
        <f t="shared" si="8"/>
        <v/>
      </c>
      <c r="AY98" s="504" t="str">
        <f t="shared" si="11"/>
        <v/>
      </c>
      <c r="AZ98" s="504" t="str">
        <f t="shared" si="9"/>
        <v/>
      </c>
      <c r="BA98" s="504" t="str">
        <f t="shared" si="9"/>
        <v/>
      </c>
      <c r="BB98" s="504" t="str">
        <f t="shared" si="9"/>
        <v/>
      </c>
      <c r="BC98" s="504" t="str">
        <f t="shared" si="9"/>
        <v/>
      </c>
      <c r="BD98" s="504" t="str">
        <f t="shared" si="9"/>
        <v/>
      </c>
      <c r="BE98" s="504" t="str">
        <f t="shared" si="9"/>
        <v/>
      </c>
      <c r="BF98" s="38"/>
    </row>
    <row r="99" spans="2:58" s="92" customFormat="1" ht="18" customHeight="1" x14ac:dyDescent="0.3">
      <c r="B99" s="119"/>
      <c r="C99" s="502" t="str">
        <f>+IF(AP$57&lt;=$G$53,AP$57,"")</f>
        <v/>
      </c>
      <c r="D99" s="509"/>
      <c r="E99" s="510"/>
      <c r="F99" s="511"/>
      <c r="G99" s="503"/>
      <c r="H99" s="505"/>
      <c r="I99" s="505"/>
      <c r="J99" s="505"/>
      <c r="K99" s="505"/>
      <c r="L99" s="505"/>
      <c r="M99" s="505"/>
      <c r="N99" s="505"/>
      <c r="O99" s="505"/>
      <c r="P99" s="505"/>
      <c r="Q99" s="505"/>
      <c r="R99" s="505"/>
      <c r="S99" s="505"/>
      <c r="T99" s="505"/>
      <c r="U99" s="505"/>
      <c r="V99" s="505"/>
      <c r="W99" s="505"/>
      <c r="X99" s="505"/>
      <c r="Y99" s="505"/>
      <c r="Z99" s="505"/>
      <c r="AA99" s="505"/>
      <c r="AB99" s="505"/>
      <c r="AC99" s="505"/>
      <c r="AD99" s="505"/>
      <c r="AE99" s="505"/>
      <c r="AF99" s="505"/>
      <c r="AG99" s="505"/>
      <c r="AH99" s="505"/>
      <c r="AI99" s="505"/>
      <c r="AJ99" s="505"/>
      <c r="AK99" s="505"/>
      <c r="AL99" s="505"/>
      <c r="AM99" s="505"/>
      <c r="AN99" s="505"/>
      <c r="AO99" s="505"/>
      <c r="AP99" s="504"/>
      <c r="AQ99" s="504" t="str">
        <f t="shared" si="12"/>
        <v/>
      </c>
      <c r="AR99" s="504" t="str">
        <f t="shared" si="8"/>
        <v/>
      </c>
      <c r="AS99" s="504" t="str">
        <f t="shared" si="8"/>
        <v/>
      </c>
      <c r="AT99" s="504" t="str">
        <f t="shared" si="8"/>
        <v/>
      </c>
      <c r="AU99" s="504" t="str">
        <f t="shared" si="8"/>
        <v/>
      </c>
      <c r="AV99" s="504" t="str">
        <f t="shared" si="8"/>
        <v/>
      </c>
      <c r="AW99" s="504" t="str">
        <f t="shared" si="8"/>
        <v/>
      </c>
      <c r="AX99" s="504" t="str">
        <f t="shared" si="8"/>
        <v/>
      </c>
      <c r="AY99" s="504" t="str">
        <f t="shared" si="11"/>
        <v/>
      </c>
      <c r="AZ99" s="504" t="str">
        <f t="shared" si="9"/>
        <v/>
      </c>
      <c r="BA99" s="504" t="str">
        <f t="shared" si="9"/>
        <v/>
      </c>
      <c r="BB99" s="504" t="str">
        <f t="shared" si="9"/>
        <v/>
      </c>
      <c r="BC99" s="504" t="str">
        <f t="shared" si="9"/>
        <v/>
      </c>
      <c r="BD99" s="504" t="str">
        <f t="shared" si="9"/>
        <v/>
      </c>
      <c r="BE99" s="504" t="str">
        <f t="shared" si="9"/>
        <v/>
      </c>
      <c r="BF99" s="38"/>
    </row>
    <row r="100" spans="2:58" s="92" customFormat="1" ht="18" customHeight="1" x14ac:dyDescent="0.3">
      <c r="B100" s="119"/>
      <c r="C100" s="502" t="str">
        <f>+IF(AQ$57&lt;=$G$53,AQ$57,"")</f>
        <v/>
      </c>
      <c r="D100" s="509"/>
      <c r="E100" s="510"/>
      <c r="F100" s="511"/>
      <c r="G100" s="503"/>
      <c r="H100" s="505"/>
      <c r="I100" s="505"/>
      <c r="J100" s="505"/>
      <c r="K100" s="505"/>
      <c r="L100" s="505"/>
      <c r="M100" s="505"/>
      <c r="N100" s="505"/>
      <c r="O100" s="505"/>
      <c r="P100" s="505"/>
      <c r="Q100" s="505"/>
      <c r="R100" s="505"/>
      <c r="S100" s="505"/>
      <c r="T100" s="505"/>
      <c r="U100" s="505"/>
      <c r="V100" s="505"/>
      <c r="W100" s="505"/>
      <c r="X100" s="505"/>
      <c r="Y100" s="505"/>
      <c r="Z100" s="505"/>
      <c r="AA100" s="505"/>
      <c r="AB100" s="505"/>
      <c r="AC100" s="505"/>
      <c r="AD100" s="505"/>
      <c r="AE100" s="505"/>
      <c r="AF100" s="505"/>
      <c r="AG100" s="505"/>
      <c r="AH100" s="505"/>
      <c r="AI100" s="505"/>
      <c r="AJ100" s="505"/>
      <c r="AK100" s="505"/>
      <c r="AL100" s="505"/>
      <c r="AM100" s="505"/>
      <c r="AN100" s="505"/>
      <c r="AO100" s="505"/>
      <c r="AP100" s="505"/>
      <c r="AQ100" s="504"/>
      <c r="AR100" s="504" t="str">
        <f t="shared" si="8"/>
        <v/>
      </c>
      <c r="AS100" s="504" t="str">
        <f t="shared" si="8"/>
        <v/>
      </c>
      <c r="AT100" s="504" t="str">
        <f t="shared" si="8"/>
        <v/>
      </c>
      <c r="AU100" s="504" t="str">
        <f t="shared" si="8"/>
        <v/>
      </c>
      <c r="AV100" s="504" t="str">
        <f t="shared" si="8"/>
        <v/>
      </c>
      <c r="AW100" s="504" t="str">
        <f t="shared" si="8"/>
        <v/>
      </c>
      <c r="AX100" s="504" t="str">
        <f t="shared" si="8"/>
        <v/>
      </c>
      <c r="AY100" s="504" t="str">
        <f t="shared" si="11"/>
        <v/>
      </c>
      <c r="AZ100" s="504" t="str">
        <f t="shared" si="9"/>
        <v/>
      </c>
      <c r="BA100" s="504" t="str">
        <f t="shared" si="9"/>
        <v/>
      </c>
      <c r="BB100" s="504" t="str">
        <f t="shared" si="9"/>
        <v/>
      </c>
      <c r="BC100" s="504" t="str">
        <f t="shared" si="9"/>
        <v/>
      </c>
      <c r="BD100" s="504" t="str">
        <f t="shared" si="9"/>
        <v/>
      </c>
      <c r="BE100" s="504" t="str">
        <f t="shared" si="9"/>
        <v/>
      </c>
      <c r="BF100" s="38"/>
    </row>
    <row r="101" spans="2:58" s="92" customFormat="1" ht="18" customHeight="1" x14ac:dyDescent="0.3">
      <c r="B101" s="119"/>
      <c r="C101" s="502" t="str">
        <f>+IF(AR$57&lt;=$G$53,AR$57,"")</f>
        <v/>
      </c>
      <c r="D101" s="509"/>
      <c r="E101" s="510"/>
      <c r="F101" s="511"/>
      <c r="G101" s="503"/>
      <c r="H101" s="505"/>
      <c r="I101" s="505"/>
      <c r="J101" s="505"/>
      <c r="K101" s="505"/>
      <c r="L101" s="505"/>
      <c r="M101" s="505"/>
      <c r="N101" s="505"/>
      <c r="O101" s="505"/>
      <c r="P101" s="505"/>
      <c r="Q101" s="505"/>
      <c r="R101" s="505"/>
      <c r="S101" s="505"/>
      <c r="T101" s="505"/>
      <c r="U101" s="505"/>
      <c r="V101" s="505"/>
      <c r="W101" s="505"/>
      <c r="X101" s="505"/>
      <c r="Y101" s="505"/>
      <c r="Z101" s="505"/>
      <c r="AA101" s="505"/>
      <c r="AB101" s="505"/>
      <c r="AC101" s="505"/>
      <c r="AD101" s="505"/>
      <c r="AE101" s="505"/>
      <c r="AF101" s="505"/>
      <c r="AG101" s="505"/>
      <c r="AH101" s="505"/>
      <c r="AI101" s="505"/>
      <c r="AJ101" s="505"/>
      <c r="AK101" s="505"/>
      <c r="AL101" s="505"/>
      <c r="AM101" s="505"/>
      <c r="AN101" s="505"/>
      <c r="AO101" s="505"/>
      <c r="AP101" s="505"/>
      <c r="AQ101" s="505"/>
      <c r="AR101" s="504"/>
      <c r="AS101" s="504" t="str">
        <f t="shared" ref="AS101:AX106" si="16">IF(ISERROR($F101*$E101*EXP(-$F101*(AS$57-$C101))*$D101),"",$F101*$E101*EXP(-$F101*(AS$57-$C101))*$D101)</f>
        <v/>
      </c>
      <c r="AT101" s="504" t="str">
        <f t="shared" si="16"/>
        <v/>
      </c>
      <c r="AU101" s="504" t="str">
        <f t="shared" si="16"/>
        <v/>
      </c>
      <c r="AV101" s="504" t="str">
        <f t="shared" si="16"/>
        <v/>
      </c>
      <c r="AW101" s="504" t="str">
        <f t="shared" si="16"/>
        <v/>
      </c>
      <c r="AX101" s="504" t="str">
        <f t="shared" si="16"/>
        <v/>
      </c>
      <c r="AY101" s="504" t="str">
        <f t="shared" si="11"/>
        <v/>
      </c>
      <c r="AZ101" s="504" t="str">
        <f t="shared" si="9"/>
        <v/>
      </c>
      <c r="BA101" s="504" t="str">
        <f t="shared" si="9"/>
        <v/>
      </c>
      <c r="BB101" s="504" t="str">
        <f t="shared" si="9"/>
        <v/>
      </c>
      <c r="BC101" s="504" t="str">
        <f t="shared" si="9"/>
        <v/>
      </c>
      <c r="BD101" s="504" t="str">
        <f t="shared" si="9"/>
        <v/>
      </c>
      <c r="BE101" s="504" t="str">
        <f t="shared" si="9"/>
        <v/>
      </c>
      <c r="BF101" s="38"/>
    </row>
    <row r="102" spans="2:58" s="92" customFormat="1" ht="18" customHeight="1" x14ac:dyDescent="0.3">
      <c r="B102" s="119"/>
      <c r="C102" s="502" t="str">
        <f>+IF(AS$57&lt;=$G$53,AS$57,"")</f>
        <v/>
      </c>
      <c r="D102" s="509"/>
      <c r="E102" s="510"/>
      <c r="F102" s="511"/>
      <c r="G102" s="503"/>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4"/>
      <c r="AT102" s="504" t="str">
        <f t="shared" si="16"/>
        <v/>
      </c>
      <c r="AU102" s="504" t="str">
        <f t="shared" si="16"/>
        <v/>
      </c>
      <c r="AV102" s="504" t="str">
        <f t="shared" si="16"/>
        <v/>
      </c>
      <c r="AW102" s="504" t="str">
        <f t="shared" si="16"/>
        <v/>
      </c>
      <c r="AX102" s="504" t="str">
        <f t="shared" si="16"/>
        <v/>
      </c>
      <c r="AY102" s="504" t="str">
        <f t="shared" si="11"/>
        <v/>
      </c>
      <c r="AZ102" s="504" t="str">
        <f t="shared" si="9"/>
        <v/>
      </c>
      <c r="BA102" s="504" t="str">
        <f t="shared" si="9"/>
        <v/>
      </c>
      <c r="BB102" s="504" t="str">
        <f t="shared" si="9"/>
        <v/>
      </c>
      <c r="BC102" s="504" t="str">
        <f t="shared" si="9"/>
        <v/>
      </c>
      <c r="BD102" s="504" t="str">
        <f t="shared" si="9"/>
        <v/>
      </c>
      <c r="BE102" s="504" t="str">
        <f t="shared" si="9"/>
        <v/>
      </c>
      <c r="BF102" s="38"/>
    </row>
    <row r="103" spans="2:58" s="92" customFormat="1" ht="18" customHeight="1" x14ac:dyDescent="0.3">
      <c r="B103" s="119"/>
      <c r="C103" s="502" t="str">
        <f>+IF(AT$57&lt;=$G$53,AT$57,"")</f>
        <v/>
      </c>
      <c r="D103" s="509"/>
      <c r="E103" s="510"/>
      <c r="F103" s="511"/>
      <c r="G103" s="503"/>
      <c r="H103" s="505"/>
      <c r="I103" s="505"/>
      <c r="J103" s="505"/>
      <c r="K103" s="505"/>
      <c r="L103" s="505"/>
      <c r="M103" s="505"/>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505"/>
      <c r="AK103" s="505"/>
      <c r="AL103" s="505"/>
      <c r="AM103" s="505"/>
      <c r="AN103" s="505"/>
      <c r="AO103" s="505"/>
      <c r="AP103" s="505"/>
      <c r="AQ103" s="505"/>
      <c r="AR103" s="505"/>
      <c r="AS103" s="505"/>
      <c r="AT103" s="504"/>
      <c r="AU103" s="504" t="str">
        <f t="shared" si="16"/>
        <v/>
      </c>
      <c r="AV103" s="504" t="str">
        <f t="shared" si="16"/>
        <v/>
      </c>
      <c r="AW103" s="504" t="str">
        <f t="shared" si="16"/>
        <v/>
      </c>
      <c r="AX103" s="504" t="str">
        <f t="shared" si="16"/>
        <v/>
      </c>
      <c r="AY103" s="504" t="str">
        <f t="shared" si="11"/>
        <v/>
      </c>
      <c r="AZ103" s="504" t="str">
        <f t="shared" si="9"/>
        <v/>
      </c>
      <c r="BA103" s="504" t="str">
        <f t="shared" si="9"/>
        <v/>
      </c>
      <c r="BB103" s="504" t="str">
        <f t="shared" si="9"/>
        <v/>
      </c>
      <c r="BC103" s="504" t="str">
        <f t="shared" si="9"/>
        <v/>
      </c>
      <c r="BD103" s="504" t="str">
        <f t="shared" si="9"/>
        <v/>
      </c>
      <c r="BE103" s="504" t="str">
        <f t="shared" si="9"/>
        <v/>
      </c>
      <c r="BF103" s="38"/>
    </row>
    <row r="104" spans="2:58" s="92" customFormat="1" ht="18" customHeight="1" x14ac:dyDescent="0.3">
      <c r="B104" s="119"/>
      <c r="C104" s="502" t="str">
        <f>+IF(AU$57&lt;=$G$53,AU$57,"")</f>
        <v/>
      </c>
      <c r="D104" s="509"/>
      <c r="E104" s="510"/>
      <c r="F104" s="511"/>
      <c r="G104" s="503"/>
      <c r="H104" s="505"/>
      <c r="I104" s="505"/>
      <c r="J104" s="505"/>
      <c r="K104" s="505"/>
      <c r="L104" s="505"/>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4"/>
      <c r="AV104" s="504" t="str">
        <f t="shared" si="16"/>
        <v/>
      </c>
      <c r="AW104" s="504" t="str">
        <f t="shared" si="16"/>
        <v/>
      </c>
      <c r="AX104" s="504" t="str">
        <f t="shared" si="16"/>
        <v/>
      </c>
      <c r="AY104" s="504" t="str">
        <f t="shared" si="11"/>
        <v/>
      </c>
      <c r="AZ104" s="504" t="str">
        <f t="shared" si="9"/>
        <v/>
      </c>
      <c r="BA104" s="504" t="str">
        <f t="shared" si="9"/>
        <v/>
      </c>
      <c r="BB104" s="504" t="str">
        <f t="shared" si="9"/>
        <v/>
      </c>
      <c r="BC104" s="504" t="str">
        <f t="shared" si="9"/>
        <v/>
      </c>
      <c r="BD104" s="504" t="str">
        <f t="shared" si="9"/>
        <v/>
      </c>
      <c r="BE104" s="504" t="str">
        <f t="shared" si="9"/>
        <v/>
      </c>
      <c r="BF104" s="38"/>
    </row>
    <row r="105" spans="2:58" s="92" customFormat="1" ht="18" customHeight="1" x14ac:dyDescent="0.3">
      <c r="B105" s="119"/>
      <c r="C105" s="502" t="str">
        <f>+IF(AV$57&lt;=$G$53,AV$57,"")</f>
        <v/>
      </c>
      <c r="D105" s="509"/>
      <c r="E105" s="510"/>
      <c r="F105" s="511"/>
      <c r="G105" s="503"/>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4"/>
      <c r="AW105" s="504" t="str">
        <f t="shared" si="16"/>
        <v/>
      </c>
      <c r="AX105" s="504" t="str">
        <f t="shared" si="16"/>
        <v/>
      </c>
      <c r="AY105" s="504" t="str">
        <f t="shared" si="11"/>
        <v/>
      </c>
      <c r="AZ105" s="504" t="str">
        <f t="shared" si="9"/>
        <v/>
      </c>
      <c r="BA105" s="504" t="str">
        <f t="shared" si="9"/>
        <v/>
      </c>
      <c r="BB105" s="504" t="str">
        <f t="shared" si="9"/>
        <v/>
      </c>
      <c r="BC105" s="504" t="str">
        <f t="shared" si="9"/>
        <v/>
      </c>
      <c r="BD105" s="504" t="str">
        <f t="shared" si="9"/>
        <v/>
      </c>
      <c r="BE105" s="504" t="str">
        <f t="shared" si="9"/>
        <v/>
      </c>
      <c r="BF105" s="38"/>
    </row>
    <row r="106" spans="2:58" s="92" customFormat="1" ht="15.6" x14ac:dyDescent="0.3">
      <c r="B106" s="119"/>
      <c r="C106" s="502" t="str">
        <f>+IF(AW$57&lt;=$G$53,AW$57,"")</f>
        <v/>
      </c>
      <c r="D106" s="509"/>
      <c r="E106" s="510"/>
      <c r="F106" s="511"/>
      <c r="G106" s="503"/>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4"/>
      <c r="AX106" s="504" t="str">
        <f t="shared" si="16"/>
        <v/>
      </c>
      <c r="AY106" s="504" t="str">
        <f t="shared" si="11"/>
        <v/>
      </c>
      <c r="AZ106" s="504" t="str">
        <f t="shared" si="9"/>
        <v/>
      </c>
      <c r="BA106" s="504" t="str">
        <f t="shared" si="9"/>
        <v/>
      </c>
      <c r="BB106" s="504" t="str">
        <f t="shared" si="9"/>
        <v/>
      </c>
      <c r="BC106" s="504" t="str">
        <f t="shared" si="9"/>
        <v/>
      </c>
      <c r="BD106" s="504" t="str">
        <f t="shared" si="9"/>
        <v/>
      </c>
      <c r="BE106" s="504" t="str">
        <f t="shared" ref="BE106:BE113" si="17">IF(ISERROR($F106*$E106*EXP(-$F106*(BE$57-$C106))*$D106),"",$F106*$E106*EXP(-$F106*(BE$57-$C106))*$D106)</f>
        <v/>
      </c>
      <c r="BF106" s="38"/>
    </row>
    <row r="107" spans="2:58" s="92" customFormat="1" ht="15.6" x14ac:dyDescent="0.3">
      <c r="B107" s="119"/>
      <c r="C107" s="502" t="str">
        <f>+IF(AX$57&lt;=$G$53,AX$57,"")</f>
        <v/>
      </c>
      <c r="D107" s="509"/>
      <c r="E107" s="510"/>
      <c r="F107" s="511"/>
      <c r="G107" s="503"/>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c r="AV107" s="505"/>
      <c r="AW107" s="505"/>
      <c r="AX107" s="504"/>
      <c r="AY107" s="504" t="str">
        <f t="shared" si="11"/>
        <v/>
      </c>
      <c r="AZ107" s="504" t="str">
        <f t="shared" si="9"/>
        <v/>
      </c>
      <c r="BA107" s="504" t="str">
        <f t="shared" si="9"/>
        <v/>
      </c>
      <c r="BB107" s="504" t="str">
        <f t="shared" si="9"/>
        <v/>
      </c>
      <c r="BC107" s="504" t="str">
        <f t="shared" si="9"/>
        <v/>
      </c>
      <c r="BD107" s="504" t="str">
        <f t="shared" si="9"/>
        <v/>
      </c>
      <c r="BE107" s="504" t="str">
        <f t="shared" si="17"/>
        <v/>
      </c>
      <c r="BF107" s="38"/>
    </row>
    <row r="108" spans="2:58" s="92" customFormat="1" ht="15.6" x14ac:dyDescent="0.3">
      <c r="B108" s="119"/>
      <c r="C108" s="502" t="str">
        <f>+IF(AY$57&lt;=$G$53,AY$57,"")</f>
        <v/>
      </c>
      <c r="D108" s="509"/>
      <c r="E108" s="510"/>
      <c r="F108" s="511"/>
      <c r="G108" s="503"/>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5"/>
      <c r="AY108" s="504"/>
      <c r="AZ108" s="504" t="str">
        <f t="shared" si="9"/>
        <v/>
      </c>
      <c r="BA108" s="504" t="str">
        <f t="shared" si="9"/>
        <v/>
      </c>
      <c r="BB108" s="504" t="str">
        <f t="shared" si="9"/>
        <v/>
      </c>
      <c r="BC108" s="504" t="str">
        <f t="shared" si="9"/>
        <v/>
      </c>
      <c r="BD108" s="504" t="str">
        <f t="shared" si="9"/>
        <v/>
      </c>
      <c r="BE108" s="504" t="str">
        <f t="shared" si="17"/>
        <v/>
      </c>
      <c r="BF108" s="38"/>
    </row>
    <row r="109" spans="2:58" s="92" customFormat="1" ht="15.6" x14ac:dyDescent="0.3">
      <c r="B109" s="119"/>
      <c r="C109" s="502" t="str">
        <f>+IF(AZ$57&lt;=$G$53,AZ$57,"")</f>
        <v/>
      </c>
      <c r="D109" s="509"/>
      <c r="E109" s="510"/>
      <c r="F109" s="511"/>
      <c r="G109" s="503"/>
      <c r="H109" s="505"/>
      <c r="I109" s="505"/>
      <c r="J109" s="505"/>
      <c r="K109" s="505"/>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4"/>
      <c r="BA109" s="504" t="str">
        <f t="shared" ref="BA109:BD112" si="18">IF(ISERROR($F109*$E109*EXP(-$F109*(BA$57-$C109))*$D109),"",$F109*$E109*EXP(-$F109*(BA$57-$C109))*$D109)</f>
        <v/>
      </c>
      <c r="BB109" s="504" t="str">
        <f t="shared" si="18"/>
        <v/>
      </c>
      <c r="BC109" s="504" t="str">
        <f t="shared" si="18"/>
        <v/>
      </c>
      <c r="BD109" s="504" t="str">
        <f t="shared" si="18"/>
        <v/>
      </c>
      <c r="BE109" s="504" t="str">
        <f t="shared" si="17"/>
        <v/>
      </c>
      <c r="BF109" s="38"/>
    </row>
    <row r="110" spans="2:58" s="92" customFormat="1" ht="15.6" x14ac:dyDescent="0.3">
      <c r="B110" s="119"/>
      <c r="C110" s="502" t="str">
        <f>+IF(BA$57&lt;=$G$53,BA$57,"")</f>
        <v/>
      </c>
      <c r="D110" s="509"/>
      <c r="E110" s="510"/>
      <c r="F110" s="511"/>
      <c r="G110" s="503"/>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4"/>
      <c r="BB110" s="504" t="str">
        <f t="shared" si="18"/>
        <v/>
      </c>
      <c r="BC110" s="504" t="str">
        <f t="shared" si="18"/>
        <v/>
      </c>
      <c r="BD110" s="504" t="str">
        <f t="shared" si="18"/>
        <v/>
      </c>
      <c r="BE110" s="504" t="str">
        <f t="shared" si="17"/>
        <v/>
      </c>
      <c r="BF110" s="38"/>
    </row>
    <row r="111" spans="2:58" s="92" customFormat="1" ht="15.6" x14ac:dyDescent="0.3">
      <c r="B111" s="119"/>
      <c r="C111" s="502" t="str">
        <f>+IF(BB$57&lt;=$G$53,BB$57,"")</f>
        <v/>
      </c>
      <c r="D111" s="509"/>
      <c r="E111" s="510"/>
      <c r="F111" s="511"/>
      <c r="G111" s="503"/>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4"/>
      <c r="BC111" s="504" t="str">
        <f t="shared" si="18"/>
        <v/>
      </c>
      <c r="BD111" s="504" t="str">
        <f t="shared" si="18"/>
        <v/>
      </c>
      <c r="BE111" s="504" t="str">
        <f t="shared" si="17"/>
        <v/>
      </c>
      <c r="BF111" s="38"/>
    </row>
    <row r="112" spans="2:58" s="92" customFormat="1" ht="15.6" x14ac:dyDescent="0.3">
      <c r="B112" s="119"/>
      <c r="C112" s="502" t="str">
        <f>+IF(BC$57&lt;=$G$53,BC$57,"")</f>
        <v/>
      </c>
      <c r="D112" s="509"/>
      <c r="E112" s="510"/>
      <c r="F112" s="511"/>
      <c r="G112" s="503"/>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c r="BC112" s="504"/>
      <c r="BD112" s="504" t="str">
        <f t="shared" si="18"/>
        <v/>
      </c>
      <c r="BE112" s="504" t="str">
        <f t="shared" si="17"/>
        <v/>
      </c>
      <c r="BF112" s="38"/>
    </row>
    <row r="113" spans="2:58" s="92" customFormat="1" ht="15.6" x14ac:dyDescent="0.3">
      <c r="B113" s="119"/>
      <c r="C113" s="502" t="str">
        <f>+IF(BD$57&lt;=$G$53,BD$57,"")</f>
        <v/>
      </c>
      <c r="D113" s="509"/>
      <c r="E113" s="510"/>
      <c r="F113" s="511"/>
      <c r="G113" s="503"/>
      <c r="H113" s="505"/>
      <c r="I113" s="505"/>
      <c r="J113" s="505"/>
      <c r="K113" s="505"/>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AY113" s="505"/>
      <c r="AZ113" s="505"/>
      <c r="BA113" s="505"/>
      <c r="BB113" s="505"/>
      <c r="BC113" s="505"/>
      <c r="BD113" s="504"/>
      <c r="BE113" s="504" t="str">
        <f t="shared" si="17"/>
        <v/>
      </c>
      <c r="BF113" s="38"/>
    </row>
    <row r="114" spans="2:58" s="92" customFormat="1" ht="15.6" x14ac:dyDescent="0.3">
      <c r="B114" s="119"/>
      <c r="C114" s="502" t="str">
        <f>+IF(BE$57&lt;=$G$53,BE$57,"")</f>
        <v/>
      </c>
      <c r="D114" s="509"/>
      <c r="E114" s="510"/>
      <c r="F114" s="511"/>
      <c r="G114" s="503"/>
      <c r="H114" s="505"/>
      <c r="I114" s="505"/>
      <c r="J114" s="505"/>
      <c r="K114" s="505"/>
      <c r="L114" s="505"/>
      <c r="M114" s="505"/>
      <c r="N114" s="505"/>
      <c r="O114" s="505"/>
      <c r="P114" s="505"/>
      <c r="Q114" s="505"/>
      <c r="R114" s="505"/>
      <c r="S114" s="505"/>
      <c r="T114" s="505"/>
      <c r="U114" s="505"/>
      <c r="V114" s="505"/>
      <c r="W114" s="505"/>
      <c r="X114" s="505"/>
      <c r="Y114" s="505"/>
      <c r="Z114" s="505"/>
      <c r="AA114" s="505"/>
      <c r="AB114" s="505"/>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5"/>
      <c r="AY114" s="505"/>
      <c r="AZ114" s="505"/>
      <c r="BA114" s="505"/>
      <c r="BB114" s="505"/>
      <c r="BC114" s="505"/>
      <c r="BD114" s="505"/>
      <c r="BE114" s="504"/>
      <c r="BF114" s="38"/>
    </row>
    <row r="115" spans="2:58" s="92" customFormat="1" ht="16.2" thickBot="1" x14ac:dyDescent="0.35">
      <c r="B115" s="507"/>
      <c r="C115" s="464"/>
      <c r="D115" s="512"/>
      <c r="E115" s="512"/>
      <c r="F115" s="512"/>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4"/>
      <c r="AL115" s="464"/>
      <c r="AM115" s="464"/>
      <c r="AN115" s="464"/>
      <c r="AO115" s="464"/>
      <c r="AP115" s="464"/>
      <c r="AQ115" s="464"/>
      <c r="AR115" s="464"/>
      <c r="AS115" s="464"/>
      <c r="AT115" s="464"/>
      <c r="AU115" s="464"/>
      <c r="AV115" s="464"/>
      <c r="AW115" s="464"/>
      <c r="AX115" s="464"/>
      <c r="AY115" s="464"/>
      <c r="AZ115" s="464"/>
      <c r="BA115" s="464"/>
      <c r="BB115" s="464"/>
      <c r="BC115" s="464"/>
      <c r="BD115" s="464"/>
      <c r="BE115" s="508"/>
      <c r="BF115" s="38"/>
    </row>
    <row r="116" spans="2:58" s="92" customFormat="1" ht="18" customHeight="1" thickTop="1" x14ac:dyDescent="0.3">
      <c r="B116" s="38"/>
      <c r="C116" s="38"/>
      <c r="D116" s="165"/>
      <c r="E116" s="463"/>
      <c r="F116" s="463"/>
      <c r="G116" s="463"/>
      <c r="H116" s="463"/>
      <c r="I116" s="463"/>
      <c r="J116" s="834"/>
      <c r="K116" s="835"/>
      <c r="L116" s="835"/>
      <c r="M116" s="835"/>
      <c r="N116" s="513"/>
      <c r="O116" s="35"/>
      <c r="P116" s="421"/>
      <c r="Q116" s="421"/>
      <c r="R116" s="118"/>
      <c r="BF116" s="35"/>
    </row>
    <row r="117" spans="2:58" s="92" customFormat="1" ht="18" customHeight="1" x14ac:dyDescent="0.3">
      <c r="BF117" s="35"/>
    </row>
    <row r="118" spans="2:58" s="92" customFormat="1" ht="18" customHeight="1" x14ac:dyDescent="0.3">
      <c r="BF118" s="35"/>
    </row>
    <row r="119" spans="2:58" s="92" customFormat="1" ht="18" customHeight="1" x14ac:dyDescent="0.3">
      <c r="BF119" s="35"/>
    </row>
    <row r="120" spans="2:58" s="92" customFormat="1" ht="18" customHeight="1" x14ac:dyDescent="0.3">
      <c r="BF120" s="35"/>
    </row>
    <row r="121" spans="2:58" s="92" customFormat="1" ht="18" customHeight="1" x14ac:dyDescent="0.3">
      <c r="BF121" s="35"/>
    </row>
    <row r="122" spans="2:58" s="92" customFormat="1" ht="18" customHeight="1" thickBot="1" x14ac:dyDescent="0.35">
      <c r="M122" s="97"/>
      <c r="N122" s="97"/>
      <c r="BF122" s="35"/>
    </row>
    <row r="123" spans="2:58" s="92" customFormat="1" ht="102.75" customHeight="1" thickTop="1" x14ac:dyDescent="0.3">
      <c r="B123" s="316"/>
      <c r="C123" s="849" t="s">
        <v>639</v>
      </c>
      <c r="D123" s="835"/>
      <c r="E123" s="835"/>
      <c r="F123" s="835"/>
      <c r="G123" s="514"/>
      <c r="H123" s="118"/>
      <c r="I123" s="118"/>
      <c r="J123" s="118"/>
      <c r="K123" s="118"/>
      <c r="L123" s="118"/>
      <c r="N123" s="102"/>
      <c r="BF123" s="35"/>
    </row>
    <row r="124" spans="2:58" s="92" customFormat="1" ht="27" customHeight="1" x14ac:dyDescent="0.3">
      <c r="B124" s="119"/>
      <c r="C124" s="463" t="s">
        <v>640</v>
      </c>
      <c r="D124" s="103"/>
      <c r="E124" s="103"/>
      <c r="F124" s="103"/>
      <c r="G124" s="35"/>
      <c r="H124" s="35"/>
      <c r="I124" s="35"/>
      <c r="J124" s="35"/>
      <c r="K124" s="35"/>
      <c r="L124" s="35"/>
      <c r="N124" s="104"/>
      <c r="BF124" s="35"/>
    </row>
    <row r="125" spans="2:58" s="92" customFormat="1" ht="27" customHeight="1" x14ac:dyDescent="0.3">
      <c r="B125" s="119"/>
      <c r="C125" s="515" t="s">
        <v>312</v>
      </c>
      <c r="D125" s="103"/>
      <c r="E125" s="103"/>
      <c r="F125" s="103"/>
      <c r="G125" s="35"/>
      <c r="H125" s="35"/>
      <c r="I125" s="35"/>
      <c r="J125" s="35"/>
      <c r="K125" s="35"/>
      <c r="L125" s="35"/>
      <c r="N125" s="104"/>
      <c r="BF125" s="35"/>
    </row>
    <row r="126" spans="2:58" s="92" customFormat="1" ht="19.5" customHeight="1" x14ac:dyDescent="0.3">
      <c r="B126" s="119"/>
      <c r="C126" s="35"/>
      <c r="D126" s="120"/>
      <c r="E126" s="841" t="s">
        <v>450</v>
      </c>
      <c r="F126" s="842"/>
      <c r="G126" s="842"/>
      <c r="H126" s="842"/>
      <c r="I126" s="842"/>
      <c r="J126" s="842"/>
      <c r="K126" s="842"/>
      <c r="L126" s="842"/>
      <c r="M126" s="843"/>
      <c r="N126" s="132"/>
      <c r="BF126" s="35"/>
    </row>
    <row r="127" spans="2:58" s="92" customFormat="1" ht="21" customHeight="1" x14ac:dyDescent="0.3">
      <c r="B127" s="119"/>
      <c r="C127" s="35"/>
      <c r="D127" s="120"/>
      <c r="E127" s="151" t="s">
        <v>359</v>
      </c>
      <c r="F127" s="520" t="s">
        <v>360</v>
      </c>
      <c r="G127" s="521" t="s">
        <v>334</v>
      </c>
      <c r="H127" s="521" t="s">
        <v>340</v>
      </c>
      <c r="I127" s="155" t="s">
        <v>335</v>
      </c>
      <c r="J127" s="521" t="s">
        <v>506</v>
      </c>
      <c r="K127" s="416" t="s">
        <v>339</v>
      </c>
      <c r="L127" s="416" t="s">
        <v>124</v>
      </c>
      <c r="M127" s="416" t="s">
        <v>125</v>
      </c>
      <c r="N127" s="132"/>
      <c r="BF127" s="35"/>
    </row>
    <row r="128" spans="2:58" s="92" customFormat="1" ht="69.75" customHeight="1" x14ac:dyDescent="0.3">
      <c r="B128" s="68"/>
      <c r="C128" s="66"/>
      <c r="D128" s="121"/>
      <c r="E128" s="458" t="s">
        <v>357</v>
      </c>
      <c r="F128" s="156" t="s">
        <v>28</v>
      </c>
      <c r="G128" s="157" t="s">
        <v>313</v>
      </c>
      <c r="H128" s="157" t="s">
        <v>31</v>
      </c>
      <c r="I128" s="157" t="s">
        <v>30</v>
      </c>
      <c r="J128" s="156" t="s">
        <v>46</v>
      </c>
      <c r="K128" s="158" t="s">
        <v>32</v>
      </c>
      <c r="L128" s="153" t="s">
        <v>641</v>
      </c>
      <c r="M128" s="153" t="s">
        <v>642</v>
      </c>
      <c r="N128" s="135"/>
      <c r="BF128" s="35"/>
    </row>
    <row r="129" spans="2:58" s="92" customFormat="1" ht="45" customHeight="1" x14ac:dyDescent="0.3">
      <c r="B129" s="119"/>
      <c r="C129" s="35"/>
      <c r="D129" s="120"/>
      <c r="E129" s="417"/>
      <c r="F129" s="159"/>
      <c r="G129" s="158"/>
      <c r="H129" s="158"/>
      <c r="I129" s="158"/>
      <c r="J129" s="158" t="s">
        <v>315</v>
      </c>
      <c r="K129" s="160" t="s">
        <v>314</v>
      </c>
      <c r="L129" s="160" t="s">
        <v>252</v>
      </c>
      <c r="M129" s="160" t="s">
        <v>253</v>
      </c>
      <c r="N129" s="135"/>
      <c r="BF129" s="35"/>
    </row>
    <row r="130" spans="2:58" s="92" customFormat="1" ht="15.75" customHeight="1" x14ac:dyDescent="0.3">
      <c r="B130" s="119"/>
      <c r="C130" s="35" t="s">
        <v>316</v>
      </c>
      <c r="D130" s="459" t="s">
        <v>317</v>
      </c>
      <c r="E130" s="460">
        <v>0.7</v>
      </c>
      <c r="F130" s="136">
        <v>1000</v>
      </c>
      <c r="G130" s="136">
        <v>0.9</v>
      </c>
      <c r="H130" s="136">
        <v>0.5</v>
      </c>
      <c r="I130" s="134">
        <v>0.5</v>
      </c>
      <c r="J130" s="136">
        <f>((F130/G130)*(1-G130)*I130)+(F130*I130*(1-H130))</f>
        <v>305.55555555555554</v>
      </c>
      <c r="K130" s="461">
        <f>J130*0.72/1000</f>
        <v>0.21999999999999997</v>
      </c>
      <c r="L130" s="134">
        <f>E130*K130</f>
        <v>0.15399999999999997</v>
      </c>
      <c r="M130" s="134">
        <f>(1-E130)*K130</f>
        <v>6.6000000000000003E-2</v>
      </c>
      <c r="N130" s="140"/>
      <c r="BF130" s="35"/>
    </row>
    <row r="131" spans="2:58" s="92" customFormat="1" ht="23.25" customHeight="1" x14ac:dyDescent="0.3">
      <c r="B131" s="124"/>
      <c r="C131" s="146" t="s">
        <v>111</v>
      </c>
      <c r="D131" s="147" t="s">
        <v>24</v>
      </c>
      <c r="E131" s="326"/>
      <c r="F131" s="141"/>
      <c r="G131" s="142"/>
      <c r="H131" s="143"/>
      <c r="I131" s="144"/>
      <c r="J131" s="143"/>
      <c r="K131" s="141"/>
      <c r="L131" s="144"/>
      <c r="M131" s="141"/>
      <c r="N131" s="145"/>
      <c r="BF131" s="35"/>
    </row>
    <row r="132" spans="2:58" s="92" customFormat="1" ht="17.25" customHeight="1" x14ac:dyDescent="0.3">
      <c r="B132" s="119"/>
      <c r="C132" s="477"/>
      <c r="D132" s="478"/>
      <c r="E132" s="479"/>
      <c r="F132" s="478"/>
      <c r="G132" s="480"/>
      <c r="H132" s="480"/>
      <c r="I132" s="480"/>
      <c r="J132" s="438">
        <f>IF(G132=0,0,((F132/G132)*(1-G132)*I132)+(F132*I132*(1-H132)))</f>
        <v>0</v>
      </c>
      <c r="K132" s="481">
        <f>J132*0.72/1000</f>
        <v>0</v>
      </c>
      <c r="L132" s="173">
        <f>E132*K132</f>
        <v>0</v>
      </c>
      <c r="M132" s="173">
        <f>(1-E132)*K132</f>
        <v>0</v>
      </c>
      <c r="N132" s="163"/>
      <c r="BF132" s="35"/>
    </row>
    <row r="133" spans="2:58" s="92" customFormat="1" ht="18.75" customHeight="1" x14ac:dyDescent="0.3">
      <c r="B133" s="119"/>
      <c r="C133" s="477"/>
      <c r="D133" s="478"/>
      <c r="E133" s="479"/>
      <c r="F133" s="478"/>
      <c r="G133" s="480"/>
      <c r="H133" s="480"/>
      <c r="I133" s="480"/>
      <c r="J133" s="438">
        <f>IF(G133=0,0,((F133/G133)*(1-G133)*I133)+(F133*I133*(1-H133)))</f>
        <v>0</v>
      </c>
      <c r="K133" s="481">
        <f>J133*0.72/1000</f>
        <v>0</v>
      </c>
      <c r="L133" s="173">
        <f>E133*K133</f>
        <v>0</v>
      </c>
      <c r="M133" s="173">
        <f>(1-E133)*K133</f>
        <v>0</v>
      </c>
      <c r="N133" s="163"/>
      <c r="BF133" s="35"/>
    </row>
    <row r="134" spans="2:58" s="92" customFormat="1" ht="18" customHeight="1" x14ac:dyDescent="0.3">
      <c r="B134" s="119"/>
      <c r="C134" s="477"/>
      <c r="D134" s="478"/>
      <c r="E134" s="479"/>
      <c r="F134" s="478"/>
      <c r="G134" s="480"/>
      <c r="H134" s="480"/>
      <c r="I134" s="480"/>
      <c r="J134" s="438">
        <f>IF(G134=0,0,((F134/G134)*(1-G134)*I134)+(F134*I134*(1-H134)))</f>
        <v>0</v>
      </c>
      <c r="K134" s="481">
        <f>J134*0.72/1000</f>
        <v>0</v>
      </c>
      <c r="L134" s="173">
        <f>E134*K134</f>
        <v>0</v>
      </c>
      <c r="M134" s="173">
        <f>(1-E134)*K134</f>
        <v>0</v>
      </c>
      <c r="N134" s="163"/>
      <c r="BF134" s="35"/>
    </row>
    <row r="135" spans="2:58" s="92" customFormat="1" ht="18" customHeight="1" x14ac:dyDescent="0.3">
      <c r="B135" s="119"/>
      <c r="C135" s="477"/>
      <c r="D135" s="478"/>
      <c r="E135" s="479"/>
      <c r="F135" s="478"/>
      <c r="G135" s="480"/>
      <c r="H135" s="480"/>
      <c r="I135" s="480"/>
      <c r="J135" s="438">
        <f>IF(G135=0,0,((F135/G135)*(1-G135)*I135)+(F135*I135*(1-H135)))</f>
        <v>0</v>
      </c>
      <c r="K135" s="481">
        <f>J135*0.72/1000</f>
        <v>0</v>
      </c>
      <c r="L135" s="173">
        <f>E135*K135</f>
        <v>0</v>
      </c>
      <c r="M135" s="173">
        <f>(1-E135)*K135</f>
        <v>0</v>
      </c>
      <c r="N135" s="163"/>
      <c r="BF135" s="35"/>
    </row>
    <row r="136" spans="2:58" s="92" customFormat="1" ht="16.5" customHeight="1" x14ac:dyDescent="0.3">
      <c r="B136" s="119"/>
      <c r="C136" s="477"/>
      <c r="D136" s="478"/>
      <c r="E136" s="479"/>
      <c r="F136" s="478"/>
      <c r="G136" s="480"/>
      <c r="H136" s="480"/>
      <c r="I136" s="480"/>
      <c r="J136" s="438">
        <f>IF(G136=0,0,((F136/G136)*(1-G136)*I136)+(F136*I136*(1-H136)))</f>
        <v>0</v>
      </c>
      <c r="K136" s="481">
        <f>J136*0.72/1000</f>
        <v>0</v>
      </c>
      <c r="L136" s="173">
        <f>E136*K136</f>
        <v>0</v>
      </c>
      <c r="M136" s="173">
        <f>(1-E136)*K136</f>
        <v>0</v>
      </c>
      <c r="N136" s="163"/>
      <c r="BF136" s="35"/>
    </row>
    <row r="137" spans="2:58" s="92" customFormat="1" ht="30.75" customHeight="1" x14ac:dyDescent="0.3">
      <c r="B137" s="164"/>
      <c r="C137" s="38"/>
      <c r="D137" s="165"/>
      <c r="E137" s="165"/>
      <c r="F137" s="165"/>
      <c r="G137" s="165"/>
      <c r="H137" s="165"/>
      <c r="I137" s="38"/>
      <c r="J137" s="38"/>
      <c r="K137" s="463"/>
      <c r="N137" s="167"/>
      <c r="BF137" s="35"/>
    </row>
    <row r="138" spans="2:58" s="92" customFormat="1" ht="20.25" customHeight="1" thickBot="1" x14ac:dyDescent="0.4">
      <c r="B138" s="464"/>
      <c r="C138" s="465"/>
      <c r="D138" s="465"/>
      <c r="E138" s="466"/>
      <c r="F138" s="831" t="s">
        <v>320</v>
      </c>
      <c r="G138" s="832"/>
      <c r="H138" s="832"/>
      <c r="I138" s="832"/>
      <c r="J138" s="832"/>
      <c r="K138" s="833"/>
      <c r="L138" s="482">
        <f>SUM(L132:L136)</f>
        <v>0</v>
      </c>
      <c r="M138" s="482">
        <f>SUM(M132:M136)</f>
        <v>0</v>
      </c>
      <c r="N138" s="516" t="s">
        <v>644</v>
      </c>
      <c r="BF138" s="35"/>
    </row>
    <row r="139" spans="2:58" s="92" customFormat="1" ht="47.25" customHeight="1" thickTop="1" x14ac:dyDescent="0.3">
      <c r="B139" s="316"/>
      <c r="C139" s="840" t="s">
        <v>643</v>
      </c>
      <c r="D139" s="835"/>
      <c r="E139" s="835"/>
      <c r="F139" s="835"/>
      <c r="G139" s="514"/>
      <c r="H139" s="118"/>
      <c r="I139" s="118"/>
      <c r="J139" s="118"/>
      <c r="K139" s="118"/>
      <c r="L139" s="118"/>
      <c r="M139" s="102"/>
      <c r="BF139" s="35"/>
    </row>
    <row r="140" spans="2:58" s="92" customFormat="1" ht="18" customHeight="1" x14ac:dyDescent="0.3">
      <c r="B140" s="119"/>
      <c r="C140" s="105"/>
      <c r="D140" s="103"/>
      <c r="E140" s="103"/>
      <c r="F140" s="103"/>
      <c r="G140" s="103"/>
      <c r="H140" s="35"/>
      <c r="I140" s="35"/>
      <c r="J140" s="35"/>
      <c r="K140" s="35"/>
      <c r="L140" s="35"/>
      <c r="M140" s="104"/>
      <c r="BF140" s="35"/>
    </row>
    <row r="141" spans="2:58" s="92" customFormat="1" ht="18" customHeight="1" x14ac:dyDescent="0.3">
      <c r="B141" s="119"/>
      <c r="C141" s="105"/>
      <c r="D141" s="103"/>
      <c r="E141" s="839" t="s">
        <v>450</v>
      </c>
      <c r="F141" s="797"/>
      <c r="G141" s="797"/>
      <c r="H141" s="797"/>
      <c r="I141" s="797"/>
      <c r="J141" s="797"/>
      <c r="K141" s="797"/>
      <c r="L141" s="797"/>
      <c r="M141" s="104"/>
      <c r="BF141" s="35"/>
    </row>
    <row r="142" spans="2:58" s="92" customFormat="1" ht="18" customHeight="1" x14ac:dyDescent="0.3">
      <c r="B142" s="119"/>
      <c r="C142" s="35"/>
      <c r="D142" s="120"/>
      <c r="E142" s="151" t="s">
        <v>359</v>
      </c>
      <c r="F142" s="151" t="s">
        <v>360</v>
      </c>
      <c r="G142" s="152" t="s">
        <v>334</v>
      </c>
      <c r="H142" s="152" t="s">
        <v>340</v>
      </c>
      <c r="I142" s="152" t="s">
        <v>335</v>
      </c>
      <c r="J142" s="153" t="s">
        <v>336</v>
      </c>
      <c r="K142" s="153" t="s">
        <v>177</v>
      </c>
      <c r="L142" s="153" t="s">
        <v>213</v>
      </c>
      <c r="M142" s="132"/>
      <c r="BF142" s="35"/>
    </row>
    <row r="143" spans="2:58" s="92" customFormat="1" ht="147" customHeight="1" x14ac:dyDescent="0.3">
      <c r="B143" s="68"/>
      <c r="C143" s="66"/>
      <c r="D143" s="121"/>
      <c r="E143" s="458" t="s">
        <v>357</v>
      </c>
      <c r="F143" s="156" t="s">
        <v>322</v>
      </c>
      <c r="G143" s="157" t="s">
        <v>324</v>
      </c>
      <c r="H143" s="157" t="s">
        <v>325</v>
      </c>
      <c r="I143" s="156" t="s">
        <v>326</v>
      </c>
      <c r="J143" s="158" t="s">
        <v>32</v>
      </c>
      <c r="K143" s="153" t="s">
        <v>636</v>
      </c>
      <c r="L143" s="153" t="s">
        <v>642</v>
      </c>
      <c r="N143" s="119"/>
      <c r="BF143" s="35"/>
    </row>
    <row r="144" spans="2:58" s="92" customFormat="1" ht="20.25" customHeight="1" x14ac:dyDescent="0.3">
      <c r="B144" s="119"/>
      <c r="C144" s="35"/>
      <c r="D144" s="120"/>
      <c r="E144" s="417"/>
      <c r="F144" s="159"/>
      <c r="G144" s="158"/>
      <c r="H144" s="158"/>
      <c r="I144" s="158" t="s">
        <v>100</v>
      </c>
      <c r="J144" s="160" t="s">
        <v>327</v>
      </c>
      <c r="K144" s="160" t="s">
        <v>254</v>
      </c>
      <c r="L144" s="160" t="s">
        <v>255</v>
      </c>
      <c r="M144" s="135"/>
      <c r="BF144" s="35"/>
    </row>
    <row r="145" spans="2:58" s="92" customFormat="1" ht="18" customHeight="1" x14ac:dyDescent="0.3">
      <c r="B145" s="119"/>
      <c r="C145" s="35" t="s">
        <v>321</v>
      </c>
      <c r="D145" s="459" t="s">
        <v>317</v>
      </c>
      <c r="E145" s="148">
        <v>0.7</v>
      </c>
      <c r="F145" s="136">
        <v>3000000</v>
      </c>
      <c r="G145" s="136">
        <v>0.25</v>
      </c>
      <c r="H145" s="136">
        <v>600000</v>
      </c>
      <c r="I145" s="137">
        <f>F145*G145-H145</f>
        <v>150000</v>
      </c>
      <c r="J145" s="469">
        <f>I145/1000</f>
        <v>150</v>
      </c>
      <c r="K145" s="137">
        <f>E145*J145</f>
        <v>105</v>
      </c>
      <c r="L145" s="137">
        <f>(1-E145)*J145</f>
        <v>45.000000000000007</v>
      </c>
      <c r="M145" s="140"/>
      <c r="BF145" s="35"/>
    </row>
    <row r="146" spans="2:58" s="92" customFormat="1" ht="18" customHeight="1" x14ac:dyDescent="0.3">
      <c r="B146" s="124"/>
      <c r="C146" s="146" t="s">
        <v>111</v>
      </c>
      <c r="D146" s="147" t="s">
        <v>24</v>
      </c>
      <c r="E146" s="470"/>
      <c r="F146" s="141"/>
      <c r="G146" s="142"/>
      <c r="H146" s="143"/>
      <c r="I146" s="143"/>
      <c r="J146" s="141"/>
      <c r="K146" s="144"/>
      <c r="L146" s="141"/>
      <c r="M146" s="145"/>
      <c r="BF146" s="35"/>
    </row>
    <row r="147" spans="2:58" s="92" customFormat="1" ht="18" customHeight="1" x14ac:dyDescent="0.3">
      <c r="B147" s="119"/>
      <c r="C147" s="477"/>
      <c r="D147" s="478"/>
      <c r="E147" s="479"/>
      <c r="F147" s="496"/>
      <c r="G147" s="480"/>
      <c r="H147" s="480"/>
      <c r="I147" s="173">
        <f>F147*G147-H147</f>
        <v>0</v>
      </c>
      <c r="J147" s="173">
        <f>I147/1000</f>
        <v>0</v>
      </c>
      <c r="K147" s="173">
        <f>E147*J147</f>
        <v>0</v>
      </c>
      <c r="L147" s="173">
        <f>(1-E147)*J147</f>
        <v>0</v>
      </c>
      <c r="M147" s="163"/>
      <c r="BF147" s="35"/>
    </row>
    <row r="148" spans="2:58" s="92" customFormat="1" ht="18" customHeight="1" x14ac:dyDescent="0.3">
      <c r="B148" s="119"/>
      <c r="C148" s="477"/>
      <c r="D148" s="478"/>
      <c r="E148" s="479"/>
      <c r="F148" s="478"/>
      <c r="G148" s="480"/>
      <c r="H148" s="480"/>
      <c r="I148" s="173">
        <f>F148*G148-H148</f>
        <v>0</v>
      </c>
      <c r="J148" s="173">
        <f>I148/1000</f>
        <v>0</v>
      </c>
      <c r="K148" s="173">
        <f>E148*J148</f>
        <v>0</v>
      </c>
      <c r="L148" s="173">
        <f>(1-E148)*J148</f>
        <v>0</v>
      </c>
      <c r="M148" s="163"/>
      <c r="BF148" s="35"/>
    </row>
    <row r="149" spans="2:58" s="92" customFormat="1" ht="18" customHeight="1" x14ac:dyDescent="0.3">
      <c r="B149" s="119"/>
      <c r="C149" s="477"/>
      <c r="D149" s="478"/>
      <c r="E149" s="479"/>
      <c r="F149" s="478"/>
      <c r="G149" s="480"/>
      <c r="H149" s="480"/>
      <c r="I149" s="173">
        <f>F149*G149-H149</f>
        <v>0</v>
      </c>
      <c r="J149" s="173">
        <f>I149/1000</f>
        <v>0</v>
      </c>
      <c r="K149" s="173">
        <f>E149*J149</f>
        <v>0</v>
      </c>
      <c r="L149" s="173">
        <f>(1-E149)*J149</f>
        <v>0</v>
      </c>
      <c r="M149" s="163"/>
      <c r="BF149" s="35"/>
    </row>
    <row r="150" spans="2:58" s="92" customFormat="1" ht="18" customHeight="1" x14ac:dyDescent="0.3">
      <c r="B150" s="119"/>
      <c r="C150" s="477"/>
      <c r="D150" s="478"/>
      <c r="E150" s="479"/>
      <c r="F150" s="478"/>
      <c r="G150" s="480"/>
      <c r="H150" s="480"/>
      <c r="I150" s="173">
        <f>F150*G150-H150</f>
        <v>0</v>
      </c>
      <c r="J150" s="173">
        <f>I150/1000</f>
        <v>0</v>
      </c>
      <c r="K150" s="173">
        <f>E150*J150</f>
        <v>0</v>
      </c>
      <c r="L150" s="173">
        <f>(1-E150)*J150</f>
        <v>0</v>
      </c>
      <c r="M150" s="163"/>
      <c r="BF150" s="35"/>
    </row>
    <row r="151" spans="2:58" s="92" customFormat="1" ht="18" customHeight="1" x14ac:dyDescent="0.3">
      <c r="B151" s="119"/>
      <c r="C151" s="477"/>
      <c r="D151" s="478"/>
      <c r="E151" s="479"/>
      <c r="F151" s="478"/>
      <c r="G151" s="480"/>
      <c r="H151" s="480"/>
      <c r="I151" s="173">
        <f>F151*G151-H151</f>
        <v>0</v>
      </c>
      <c r="J151" s="173">
        <f>I151/1000</f>
        <v>0</v>
      </c>
      <c r="K151" s="173">
        <f>E151*J151</f>
        <v>0</v>
      </c>
      <c r="L151" s="173">
        <f>(1-E151)*J151</f>
        <v>0</v>
      </c>
      <c r="M151" s="163"/>
      <c r="BF151" s="35"/>
    </row>
    <row r="152" spans="2:58" s="92" customFormat="1" ht="18" customHeight="1" x14ac:dyDescent="0.3">
      <c r="B152" s="164"/>
      <c r="C152" s="38"/>
      <c r="D152" s="165"/>
      <c r="E152" s="165"/>
      <c r="F152" s="165"/>
      <c r="G152" s="165"/>
      <c r="H152" s="38"/>
      <c r="I152" s="38"/>
      <c r="J152" s="463"/>
      <c r="K152" s="463"/>
      <c r="L152" s="463"/>
      <c r="M152" s="167"/>
      <c r="BF152" s="35"/>
    </row>
    <row r="153" spans="2:58" s="92" customFormat="1" ht="18" customHeight="1" thickBot="1" x14ac:dyDescent="0.4">
      <c r="B153" s="464"/>
      <c r="C153" s="465"/>
      <c r="D153" s="465"/>
      <c r="E153" s="831" t="s">
        <v>328</v>
      </c>
      <c r="F153" s="832"/>
      <c r="G153" s="832"/>
      <c r="H153" s="832"/>
      <c r="I153" s="832"/>
      <c r="J153" s="833"/>
      <c r="K153" s="482">
        <f>SUM(K147:K151)</f>
        <v>0</v>
      </c>
      <c r="L153" s="482">
        <f>SUM(L147:L151)</f>
        <v>0</v>
      </c>
      <c r="M153" s="111" t="s">
        <v>644</v>
      </c>
      <c r="BF153" s="35"/>
    </row>
    <row r="154" spans="2:58" s="92" customFormat="1" ht="18" customHeight="1" thickTop="1" x14ac:dyDescent="0.3">
      <c r="B154" s="474"/>
      <c r="C154" s="517"/>
      <c r="D154" s="475"/>
      <c r="E154" s="518"/>
      <c r="F154" s="514"/>
      <c r="G154" s="514"/>
      <c r="H154" s="514"/>
      <c r="I154" s="514"/>
      <c r="J154" s="513"/>
      <c r="K154" s="513"/>
      <c r="L154" s="102"/>
      <c r="BF154" s="35"/>
    </row>
    <row r="155" spans="2:58" s="92" customFormat="1" ht="18" customHeight="1" x14ac:dyDescent="0.3">
      <c r="B155" s="164"/>
      <c r="C155" s="463" t="s">
        <v>331</v>
      </c>
      <c r="D155" s="165"/>
      <c r="E155" s="463"/>
      <c r="F155" s="463"/>
      <c r="G155" s="463"/>
      <c r="H155" s="463"/>
      <c r="I155" s="463"/>
      <c r="J155" s="463"/>
      <c r="K155" s="463"/>
      <c r="L155" s="104"/>
      <c r="BF155" s="35"/>
    </row>
    <row r="156" spans="2:58" s="92" customFormat="1" ht="18" customHeight="1" x14ac:dyDescent="0.3">
      <c r="B156" s="164"/>
      <c r="C156" s="463"/>
      <c r="D156" s="165"/>
      <c r="E156" s="463"/>
      <c r="F156" s="463"/>
      <c r="G156" s="463"/>
      <c r="H156" s="463"/>
      <c r="I156" s="463"/>
      <c r="J156" s="166" t="s">
        <v>239</v>
      </c>
      <c r="K156" s="166" t="s">
        <v>240</v>
      </c>
      <c r="L156" s="104"/>
      <c r="BF156" s="35"/>
    </row>
    <row r="157" spans="2:58" s="92" customFormat="1" ht="18" customHeight="1" x14ac:dyDescent="0.35">
      <c r="B157" s="164"/>
      <c r="D157" s="830" t="s">
        <v>329</v>
      </c>
      <c r="E157" s="806"/>
      <c r="F157" s="806"/>
      <c r="G157" s="806"/>
      <c r="H157" s="806"/>
      <c r="I157" s="805"/>
      <c r="J157" s="175">
        <f>(L138+K153)</f>
        <v>0</v>
      </c>
      <c r="K157" s="175">
        <f>(M138+L153)</f>
        <v>0</v>
      </c>
      <c r="L157" s="519" t="s">
        <v>644</v>
      </c>
      <c r="BF157" s="35"/>
    </row>
    <row r="158" spans="2:58" s="92" customFormat="1" ht="18" customHeight="1" thickBot="1" x14ac:dyDescent="0.35">
      <c r="B158" s="464"/>
      <c r="C158" s="465"/>
      <c r="D158" s="466"/>
      <c r="E158" s="472"/>
      <c r="F158" s="472"/>
      <c r="G158" s="472"/>
      <c r="H158" s="472"/>
      <c r="I158" s="472"/>
      <c r="J158" s="472"/>
      <c r="K158" s="472"/>
      <c r="L158" s="111"/>
      <c r="BF158" s="35"/>
    </row>
    <row r="159" spans="2:58" s="9" customFormat="1" ht="18" customHeight="1" thickTop="1" x14ac:dyDescent="0.3">
      <c r="BF159" s="11"/>
    </row>
    <row r="160" spans="2:58" s="9" customFormat="1" ht="18" customHeight="1" x14ac:dyDescent="0.3">
      <c r="BF160" s="11"/>
    </row>
    <row r="161" spans="58:58" s="9" customFormat="1" ht="18" customHeight="1" x14ac:dyDescent="0.3">
      <c r="BF161" s="11"/>
    </row>
    <row r="162" spans="58:58" s="9" customFormat="1" ht="18" customHeight="1" x14ac:dyDescent="0.3">
      <c r="BF162" s="11"/>
    </row>
    <row r="163" spans="58:58" s="9" customFormat="1" ht="18" customHeight="1" x14ac:dyDescent="0.3">
      <c r="BF163" s="11"/>
    </row>
    <row r="164" spans="58:58" s="9" customFormat="1" ht="18" customHeight="1" x14ac:dyDescent="0.3">
      <c r="BF164" s="11"/>
    </row>
    <row r="165" spans="58:58" s="9" customFormat="1" ht="18" customHeight="1" x14ac:dyDescent="0.3">
      <c r="BF165" s="11"/>
    </row>
    <row r="166" spans="58:58" s="9" customFormat="1" ht="18" customHeight="1" x14ac:dyDescent="0.3">
      <c r="BF166" s="11"/>
    </row>
    <row r="167" spans="58:58" s="9" customFormat="1" ht="18" customHeight="1" x14ac:dyDescent="0.3">
      <c r="BF167" s="11"/>
    </row>
    <row r="168" spans="58:58" s="9" customFormat="1" ht="18" customHeight="1" x14ac:dyDescent="0.3">
      <c r="BF168" s="11"/>
    </row>
    <row r="169" spans="58:58" s="9" customFormat="1" ht="18" customHeight="1" x14ac:dyDescent="0.3">
      <c r="BF169" s="11"/>
    </row>
    <row r="170" spans="58:58" s="9" customFormat="1" ht="18" customHeight="1" x14ac:dyDescent="0.3">
      <c r="BF170" s="11"/>
    </row>
    <row r="171" spans="58:58" s="9" customFormat="1" ht="18" customHeight="1" x14ac:dyDescent="0.3">
      <c r="BF171" s="11"/>
    </row>
    <row r="172" spans="58:58" s="9" customFormat="1" x14ac:dyDescent="0.3">
      <c r="BF172" s="11"/>
    </row>
    <row r="173" spans="58:58" s="9" customFormat="1" x14ac:dyDescent="0.3">
      <c r="BF173" s="11"/>
    </row>
    <row r="174" spans="58:58" s="9" customFormat="1" x14ac:dyDescent="0.3">
      <c r="BF174" s="11"/>
    </row>
    <row r="175" spans="58:58" s="9" customFormat="1" x14ac:dyDescent="0.3">
      <c r="BF175" s="11"/>
    </row>
    <row r="176" spans="58:58" s="9" customFormat="1" x14ac:dyDescent="0.3">
      <c r="BF176" s="11"/>
    </row>
    <row r="177" spans="58:58" s="9" customFormat="1" x14ac:dyDescent="0.3">
      <c r="BF177" s="11"/>
    </row>
    <row r="178" spans="58:58" s="9" customFormat="1" x14ac:dyDescent="0.3">
      <c r="BF178" s="11"/>
    </row>
    <row r="179" spans="58:58" s="9" customFormat="1" x14ac:dyDescent="0.3">
      <c r="BF179" s="11"/>
    </row>
    <row r="180" spans="58:58" s="9" customFormat="1" x14ac:dyDescent="0.3">
      <c r="BF180" s="11"/>
    </row>
    <row r="181" spans="58:58" s="9" customFormat="1" x14ac:dyDescent="0.3">
      <c r="BF181" s="11"/>
    </row>
    <row r="182" spans="58:58" s="9" customFormat="1" x14ac:dyDescent="0.3">
      <c r="BF182" s="11"/>
    </row>
    <row r="183" spans="58:58" s="9" customFormat="1" x14ac:dyDescent="0.3">
      <c r="BF183" s="11"/>
    </row>
    <row r="184" spans="58:58" s="9" customFormat="1" x14ac:dyDescent="0.3">
      <c r="BF184" s="11"/>
    </row>
    <row r="185" spans="58:58" s="9" customFormat="1" x14ac:dyDescent="0.3">
      <c r="BF185" s="11"/>
    </row>
    <row r="186" spans="58:58" s="9" customFormat="1" x14ac:dyDescent="0.3">
      <c r="BF186" s="11"/>
    </row>
    <row r="187" spans="58:58" s="9" customFormat="1" x14ac:dyDescent="0.3">
      <c r="BF187" s="11"/>
    </row>
    <row r="188" spans="58:58" s="9" customFormat="1" x14ac:dyDescent="0.3">
      <c r="BF188" s="11"/>
    </row>
    <row r="189" spans="58:58" s="9" customFormat="1" x14ac:dyDescent="0.3">
      <c r="BF189" s="11"/>
    </row>
    <row r="190" spans="58:58" s="9" customFormat="1" x14ac:dyDescent="0.3">
      <c r="BF190" s="11"/>
    </row>
    <row r="191" spans="58:58" s="9" customFormat="1" x14ac:dyDescent="0.3">
      <c r="BF191" s="11"/>
    </row>
    <row r="192" spans="58:58" s="9" customFormat="1" x14ac:dyDescent="0.3">
      <c r="BF192" s="11"/>
    </row>
    <row r="193" spans="58:58" s="9" customFormat="1" x14ac:dyDescent="0.3">
      <c r="BF193" s="11"/>
    </row>
    <row r="194" spans="58:58" s="9" customFormat="1" x14ac:dyDescent="0.3">
      <c r="BF194" s="11"/>
    </row>
    <row r="195" spans="58:58" s="9" customFormat="1" x14ac:dyDescent="0.3">
      <c r="BF195" s="11"/>
    </row>
    <row r="196" spans="58:58" s="9" customFormat="1" x14ac:dyDescent="0.3">
      <c r="BF196" s="11"/>
    </row>
    <row r="197" spans="58:58" s="9" customFormat="1" x14ac:dyDescent="0.3">
      <c r="BF197" s="11"/>
    </row>
    <row r="198" spans="58:58" s="9" customFormat="1" x14ac:dyDescent="0.3">
      <c r="BF198" s="11"/>
    </row>
    <row r="199" spans="58:58" s="9" customFormat="1" x14ac:dyDescent="0.3">
      <c r="BF199" s="11"/>
    </row>
    <row r="200" spans="58:58" s="9" customFormat="1" x14ac:dyDescent="0.3">
      <c r="BF200" s="11"/>
    </row>
    <row r="201" spans="58:58" s="9" customFormat="1" x14ac:dyDescent="0.3">
      <c r="BF201" s="11"/>
    </row>
    <row r="202" spans="58:58" s="9" customFormat="1" x14ac:dyDescent="0.3">
      <c r="BF202" s="11"/>
    </row>
    <row r="203" spans="58:58" s="9" customFormat="1" x14ac:dyDescent="0.3">
      <c r="BF203" s="11"/>
    </row>
    <row r="204" spans="58:58" s="9" customFormat="1" x14ac:dyDescent="0.3">
      <c r="BF204" s="11"/>
    </row>
    <row r="205" spans="58:58" s="9" customFormat="1" x14ac:dyDescent="0.3">
      <c r="BF205" s="11"/>
    </row>
    <row r="206" spans="58:58" s="9" customFormat="1" x14ac:dyDescent="0.3">
      <c r="BF206" s="11"/>
    </row>
    <row r="207" spans="58:58" s="9" customFormat="1" x14ac:dyDescent="0.3">
      <c r="BF207" s="11"/>
    </row>
    <row r="208" spans="58:58" s="9" customFormat="1" x14ac:dyDescent="0.3">
      <c r="BF208" s="11"/>
    </row>
    <row r="209" spans="58:58" s="9" customFormat="1" x14ac:dyDescent="0.3">
      <c r="BF209" s="11"/>
    </row>
    <row r="210" spans="58:58" s="9" customFormat="1" x14ac:dyDescent="0.3">
      <c r="BF210" s="11"/>
    </row>
    <row r="211" spans="58:58" s="9" customFormat="1" x14ac:dyDescent="0.3">
      <c r="BF211" s="11"/>
    </row>
    <row r="212" spans="58:58" s="9" customFormat="1" x14ac:dyDescent="0.3">
      <c r="BF212" s="11"/>
    </row>
    <row r="213" spans="58:58" s="9" customFormat="1" x14ac:dyDescent="0.3">
      <c r="BF213" s="11"/>
    </row>
    <row r="214" spans="58:58" s="9" customFormat="1" x14ac:dyDescent="0.3">
      <c r="BF214" s="11"/>
    </row>
    <row r="215" spans="58:58" s="9" customFormat="1" x14ac:dyDescent="0.3">
      <c r="BF215" s="11"/>
    </row>
    <row r="216" spans="58:58" s="9" customFormat="1" x14ac:dyDescent="0.3">
      <c r="BF216" s="11"/>
    </row>
    <row r="217" spans="58:58" s="9" customFormat="1" x14ac:dyDescent="0.3">
      <c r="BF217" s="11"/>
    </row>
    <row r="218" spans="58:58" s="9" customFormat="1" x14ac:dyDescent="0.3">
      <c r="BF218" s="11"/>
    </row>
    <row r="219" spans="58:58" s="9" customFormat="1" x14ac:dyDescent="0.3">
      <c r="BF219" s="11"/>
    </row>
    <row r="220" spans="58:58" s="9" customFormat="1" x14ac:dyDescent="0.3">
      <c r="BF220" s="11"/>
    </row>
    <row r="221" spans="58:58" s="9" customFormat="1" x14ac:dyDescent="0.3">
      <c r="BF221" s="11"/>
    </row>
    <row r="222" spans="58:58" s="9" customFormat="1" x14ac:dyDescent="0.3">
      <c r="BF222" s="11"/>
    </row>
    <row r="223" spans="58:58" s="9" customFormat="1" x14ac:dyDescent="0.3">
      <c r="BF223" s="11"/>
    </row>
    <row r="224" spans="58:58" s="9" customFormat="1" x14ac:dyDescent="0.3">
      <c r="BF224" s="11"/>
    </row>
    <row r="225" spans="58:58" s="9" customFormat="1" x14ac:dyDescent="0.3">
      <c r="BF225" s="11"/>
    </row>
    <row r="226" spans="58:58" s="9" customFormat="1" x14ac:dyDescent="0.3">
      <c r="BF226" s="11"/>
    </row>
    <row r="227" spans="58:58" s="9" customFormat="1" x14ac:dyDescent="0.3">
      <c r="BF227" s="11"/>
    </row>
    <row r="228" spans="58:58" s="9" customFormat="1" x14ac:dyDescent="0.3">
      <c r="BF228" s="11"/>
    </row>
    <row r="229" spans="58:58" s="9" customFormat="1" x14ac:dyDescent="0.3">
      <c r="BF229" s="11"/>
    </row>
    <row r="230" spans="58:58" s="9" customFormat="1" x14ac:dyDescent="0.3">
      <c r="BF230" s="11"/>
    </row>
    <row r="231" spans="58:58" s="9" customFormat="1" x14ac:dyDescent="0.3">
      <c r="BF231" s="11"/>
    </row>
    <row r="232" spans="58:58" s="9" customFormat="1" x14ac:dyDescent="0.3">
      <c r="BF232" s="11"/>
    </row>
    <row r="233" spans="58:58" s="9" customFormat="1" x14ac:dyDescent="0.3">
      <c r="BF233" s="11"/>
    </row>
    <row r="234" spans="58:58" s="9" customFormat="1" x14ac:dyDescent="0.3">
      <c r="BF234" s="11"/>
    </row>
    <row r="235" spans="58:58" s="9" customFormat="1" x14ac:dyDescent="0.3">
      <c r="BF235" s="11"/>
    </row>
    <row r="236" spans="58:58" s="9" customFormat="1" x14ac:dyDescent="0.3">
      <c r="BF236" s="11"/>
    </row>
    <row r="237" spans="58:58" s="9" customFormat="1" x14ac:dyDescent="0.3">
      <c r="BF237" s="11"/>
    </row>
    <row r="238" spans="58:58" s="9" customFormat="1" x14ac:dyDescent="0.3">
      <c r="BF238" s="11"/>
    </row>
    <row r="239" spans="58:58" s="9" customFormat="1" x14ac:dyDescent="0.3">
      <c r="BF239" s="11"/>
    </row>
    <row r="240" spans="58:58" s="9" customFormat="1" x14ac:dyDescent="0.3">
      <c r="BF240" s="11"/>
    </row>
    <row r="241" spans="58:58" s="9" customFormat="1" x14ac:dyDescent="0.3">
      <c r="BF241" s="11"/>
    </row>
    <row r="242" spans="58:58" s="9" customFormat="1" x14ac:dyDescent="0.3">
      <c r="BF242" s="11"/>
    </row>
    <row r="243" spans="58:58" s="9" customFormat="1" x14ac:dyDescent="0.3">
      <c r="BF243" s="11"/>
    </row>
    <row r="244" spans="58:58" s="9" customFormat="1" x14ac:dyDescent="0.3">
      <c r="BF244" s="11"/>
    </row>
    <row r="245" spans="58:58" s="9" customFormat="1" x14ac:dyDescent="0.3">
      <c r="BF245" s="11"/>
    </row>
    <row r="246" spans="58:58" s="9" customFormat="1" x14ac:dyDescent="0.3">
      <c r="BF246" s="11"/>
    </row>
    <row r="247" spans="58:58" s="9" customFormat="1" x14ac:dyDescent="0.3">
      <c r="BF247" s="11"/>
    </row>
    <row r="248" spans="58:58" s="9" customFormat="1" x14ac:dyDescent="0.3">
      <c r="BF248" s="11"/>
    </row>
    <row r="249" spans="58:58" s="9" customFormat="1" x14ac:dyDescent="0.3">
      <c r="BF249" s="11"/>
    </row>
    <row r="250" spans="58:58" s="9" customFormat="1" x14ac:dyDescent="0.3">
      <c r="BF250" s="11"/>
    </row>
    <row r="251" spans="58:58" s="9" customFormat="1" x14ac:dyDescent="0.3">
      <c r="BF251" s="11"/>
    </row>
    <row r="252" spans="58:58" s="9" customFormat="1" x14ac:dyDescent="0.3">
      <c r="BF252" s="11"/>
    </row>
    <row r="253" spans="58:58" s="9" customFormat="1" x14ac:dyDescent="0.3">
      <c r="BF253" s="11"/>
    </row>
    <row r="254" spans="58:58" s="9" customFormat="1" x14ac:dyDescent="0.3">
      <c r="BF254" s="11"/>
    </row>
    <row r="255" spans="58:58" s="9" customFormat="1" x14ac:dyDescent="0.3">
      <c r="BF255" s="11"/>
    </row>
    <row r="256" spans="58:58" s="9" customFormat="1" x14ac:dyDescent="0.3">
      <c r="BF256" s="11"/>
    </row>
    <row r="257" spans="58:58" s="9" customFormat="1" x14ac:dyDescent="0.3">
      <c r="BF257" s="11"/>
    </row>
    <row r="258" spans="58:58" s="9" customFormat="1" x14ac:dyDescent="0.3">
      <c r="BF258" s="11"/>
    </row>
    <row r="259" spans="58:58" s="9" customFormat="1" x14ac:dyDescent="0.3">
      <c r="BF259" s="11"/>
    </row>
    <row r="260" spans="58:58" s="9" customFormat="1" x14ac:dyDescent="0.3">
      <c r="BF260" s="11"/>
    </row>
    <row r="261" spans="58:58" s="9" customFormat="1" x14ac:dyDescent="0.3">
      <c r="BF261" s="11"/>
    </row>
    <row r="262" spans="58:58" s="9" customFormat="1" x14ac:dyDescent="0.3">
      <c r="BF262" s="11"/>
    </row>
    <row r="263" spans="58:58" s="9" customFormat="1" x14ac:dyDescent="0.3">
      <c r="BF263" s="11"/>
    </row>
    <row r="264" spans="58:58" s="9" customFormat="1" x14ac:dyDescent="0.3">
      <c r="BF264" s="11"/>
    </row>
    <row r="265" spans="58:58" s="9" customFormat="1" x14ac:dyDescent="0.3">
      <c r="BF265" s="11"/>
    </row>
    <row r="266" spans="58:58" s="9" customFormat="1" x14ac:dyDescent="0.3">
      <c r="BF266" s="11"/>
    </row>
    <row r="267" spans="58:58" s="9" customFormat="1" x14ac:dyDescent="0.3">
      <c r="BF267" s="11"/>
    </row>
    <row r="268" spans="58:58" s="9" customFormat="1" x14ac:dyDescent="0.3">
      <c r="BF268" s="11"/>
    </row>
    <row r="269" spans="58:58" s="9" customFormat="1" x14ac:dyDescent="0.3">
      <c r="BF269" s="11"/>
    </row>
    <row r="270" spans="58:58" s="9" customFormat="1" x14ac:dyDescent="0.3">
      <c r="BF270" s="11"/>
    </row>
    <row r="271" spans="58:58" s="9" customFormat="1" x14ac:dyDescent="0.3">
      <c r="BF271" s="11"/>
    </row>
    <row r="272" spans="58:58" s="9" customFormat="1" x14ac:dyDescent="0.3">
      <c r="BF272" s="11"/>
    </row>
    <row r="273" spans="58:58" s="9" customFormat="1" x14ac:dyDescent="0.3">
      <c r="BF273" s="11"/>
    </row>
    <row r="274" spans="58:58" s="9" customFormat="1" x14ac:dyDescent="0.3">
      <c r="BF274" s="11"/>
    </row>
    <row r="275" spans="58:58" s="9" customFormat="1" x14ac:dyDescent="0.3">
      <c r="BF275" s="11"/>
    </row>
    <row r="276" spans="58:58" s="9" customFormat="1" x14ac:dyDescent="0.3">
      <c r="BF276" s="11"/>
    </row>
    <row r="277" spans="58:58" s="9" customFormat="1" x14ac:dyDescent="0.3">
      <c r="BF277" s="11"/>
    </row>
    <row r="278" spans="58:58" s="9" customFormat="1" x14ac:dyDescent="0.3">
      <c r="BF278" s="11"/>
    </row>
    <row r="279" spans="58:58" s="9" customFormat="1" x14ac:dyDescent="0.3">
      <c r="BF279" s="11"/>
    </row>
    <row r="280" spans="58:58" s="9" customFormat="1" x14ac:dyDescent="0.3">
      <c r="BF280" s="11"/>
    </row>
    <row r="281" spans="58:58" s="9" customFormat="1" x14ac:dyDescent="0.3">
      <c r="BF281" s="11"/>
    </row>
    <row r="282" spans="58:58" s="9" customFormat="1" x14ac:dyDescent="0.3">
      <c r="BF282" s="11"/>
    </row>
    <row r="283" spans="58:58" s="9" customFormat="1" x14ac:dyDescent="0.3">
      <c r="BF283" s="11"/>
    </row>
    <row r="284" spans="58:58" s="9" customFormat="1" x14ac:dyDescent="0.3">
      <c r="BF284" s="11"/>
    </row>
    <row r="285" spans="58:58" s="9" customFormat="1" x14ac:dyDescent="0.3">
      <c r="BF285" s="11"/>
    </row>
    <row r="286" spans="58:58" s="9" customFormat="1" x14ac:dyDescent="0.3">
      <c r="BF286" s="11"/>
    </row>
    <row r="287" spans="58:58" s="9" customFormat="1" x14ac:dyDescent="0.3">
      <c r="BF287" s="11"/>
    </row>
    <row r="288" spans="58:58" s="9" customFormat="1" x14ac:dyDescent="0.3">
      <c r="BF288" s="11"/>
    </row>
    <row r="289" spans="58:58" s="9" customFormat="1" x14ac:dyDescent="0.3">
      <c r="BF289" s="11"/>
    </row>
    <row r="290" spans="58:58" s="9" customFormat="1" x14ac:dyDescent="0.3">
      <c r="BF290" s="11"/>
    </row>
    <row r="291" spans="58:58" s="9" customFormat="1" x14ac:dyDescent="0.3">
      <c r="BF291" s="11"/>
    </row>
    <row r="292" spans="58:58" s="9" customFormat="1" x14ac:dyDescent="0.3">
      <c r="BF292" s="11"/>
    </row>
    <row r="293" spans="58:58" s="9" customFormat="1" x14ac:dyDescent="0.3">
      <c r="BF293" s="11"/>
    </row>
    <row r="294" spans="58:58" s="9" customFormat="1" x14ac:dyDescent="0.3">
      <c r="BF294" s="11"/>
    </row>
    <row r="295" spans="58:58" s="9" customFormat="1" x14ac:dyDescent="0.3">
      <c r="BF295" s="11"/>
    </row>
    <row r="296" spans="58:58" s="9" customFormat="1" x14ac:dyDescent="0.3">
      <c r="BF296" s="11"/>
    </row>
    <row r="297" spans="58:58" s="9" customFormat="1" x14ac:dyDescent="0.3">
      <c r="BF297" s="11"/>
    </row>
    <row r="298" spans="58:58" s="9" customFormat="1" x14ac:dyDescent="0.3">
      <c r="BF298" s="11"/>
    </row>
    <row r="299" spans="58:58" s="9" customFormat="1" x14ac:dyDescent="0.3">
      <c r="BF299" s="11"/>
    </row>
    <row r="300" spans="58:58" s="9" customFormat="1" x14ac:dyDescent="0.3">
      <c r="BF300" s="11"/>
    </row>
    <row r="301" spans="58:58" s="9" customFormat="1" x14ac:dyDescent="0.3">
      <c r="BF301" s="11"/>
    </row>
    <row r="302" spans="58:58" s="9" customFormat="1" x14ac:dyDescent="0.3">
      <c r="BF302" s="11"/>
    </row>
    <row r="303" spans="58:58" s="9" customFormat="1" x14ac:dyDescent="0.3">
      <c r="BF303" s="11"/>
    </row>
    <row r="304" spans="58:58" s="9" customFormat="1" x14ac:dyDescent="0.3">
      <c r="BF304" s="11"/>
    </row>
    <row r="305" spans="58:58" s="9" customFormat="1" x14ac:dyDescent="0.3">
      <c r="BF305" s="11"/>
    </row>
    <row r="306" spans="58:58" s="9" customFormat="1" x14ac:dyDescent="0.3">
      <c r="BF306" s="11"/>
    </row>
    <row r="307" spans="58:58" s="9" customFormat="1" x14ac:dyDescent="0.3">
      <c r="BF307" s="11"/>
    </row>
    <row r="308" spans="58:58" s="9" customFormat="1" x14ac:dyDescent="0.3">
      <c r="BF308" s="11"/>
    </row>
    <row r="309" spans="58:58" s="9" customFormat="1" x14ac:dyDescent="0.3">
      <c r="BF309" s="11"/>
    </row>
    <row r="310" spans="58:58" s="9" customFormat="1" x14ac:dyDescent="0.3">
      <c r="BF310" s="11"/>
    </row>
    <row r="311" spans="58:58" s="9" customFormat="1" x14ac:dyDescent="0.3">
      <c r="BF311" s="11"/>
    </row>
    <row r="312" spans="58:58" s="9" customFormat="1" x14ac:dyDescent="0.3">
      <c r="BF312" s="11"/>
    </row>
    <row r="313" spans="58:58" s="9" customFormat="1" x14ac:dyDescent="0.3">
      <c r="BF313" s="11"/>
    </row>
    <row r="314" spans="58:58" s="9" customFormat="1" x14ac:dyDescent="0.3">
      <c r="BF314" s="11"/>
    </row>
    <row r="315" spans="58:58" s="9" customFormat="1" x14ac:dyDescent="0.3">
      <c r="BF315" s="11"/>
    </row>
    <row r="316" spans="58:58" s="9" customFormat="1" x14ac:dyDescent="0.3">
      <c r="BF316" s="11"/>
    </row>
    <row r="317" spans="58:58" s="9" customFormat="1" x14ac:dyDescent="0.3">
      <c r="BF317" s="11"/>
    </row>
    <row r="318" spans="58:58" s="9" customFormat="1" x14ac:dyDescent="0.3">
      <c r="BF318" s="11"/>
    </row>
    <row r="319" spans="58:58" s="9" customFormat="1" x14ac:dyDescent="0.3">
      <c r="BF319" s="11"/>
    </row>
    <row r="320" spans="58:58" s="9" customFormat="1" x14ac:dyDescent="0.3">
      <c r="BF320" s="11"/>
    </row>
    <row r="321" spans="58:58" s="9" customFormat="1" x14ac:dyDescent="0.3">
      <c r="BF321" s="11"/>
    </row>
    <row r="322" spans="58:58" s="9" customFormat="1" x14ac:dyDescent="0.3">
      <c r="BF322" s="11"/>
    </row>
    <row r="323" spans="58:58" s="9" customFormat="1" x14ac:dyDescent="0.3">
      <c r="BF323" s="11"/>
    </row>
    <row r="324" spans="58:58" s="9" customFormat="1" x14ac:dyDescent="0.3">
      <c r="BF324" s="11"/>
    </row>
    <row r="325" spans="58:58" s="9" customFormat="1" x14ac:dyDescent="0.3">
      <c r="BF325" s="11"/>
    </row>
    <row r="326" spans="58:58" s="9" customFormat="1" x14ac:dyDescent="0.3">
      <c r="BF326" s="11"/>
    </row>
    <row r="327" spans="58:58" s="9" customFormat="1" x14ac:dyDescent="0.3">
      <c r="BF327" s="11"/>
    </row>
    <row r="328" spans="58:58" s="9" customFormat="1" x14ac:dyDescent="0.3">
      <c r="BF328" s="11"/>
    </row>
    <row r="329" spans="58:58" s="9" customFormat="1" x14ac:dyDescent="0.3">
      <c r="BF329" s="11"/>
    </row>
    <row r="330" spans="58:58" s="9" customFormat="1" x14ac:dyDescent="0.3">
      <c r="BF330" s="11"/>
    </row>
    <row r="331" spans="58:58" s="9" customFormat="1" x14ac:dyDescent="0.3">
      <c r="BF331" s="11"/>
    </row>
    <row r="332" spans="58:58" s="9" customFormat="1" x14ac:dyDescent="0.3">
      <c r="BF332" s="11"/>
    </row>
    <row r="333" spans="58:58" s="9" customFormat="1" x14ac:dyDescent="0.3">
      <c r="BF333" s="11"/>
    </row>
    <row r="334" spans="58:58" s="9" customFormat="1" x14ac:dyDescent="0.3">
      <c r="BF334" s="11"/>
    </row>
    <row r="335" spans="58:58" s="9" customFormat="1" x14ac:dyDescent="0.3">
      <c r="BF335" s="11"/>
    </row>
    <row r="336" spans="58:58" s="9" customFormat="1" x14ac:dyDescent="0.3">
      <c r="BF336" s="11"/>
    </row>
    <row r="337" spans="17:58" s="9" customFormat="1" x14ac:dyDescent="0.3">
      <c r="BF337" s="11"/>
    </row>
    <row r="338" spans="17:58" s="9" customFormat="1" x14ac:dyDescent="0.3">
      <c r="BF338" s="11"/>
    </row>
    <row r="339" spans="17:58" s="9" customFormat="1" x14ac:dyDescent="0.3">
      <c r="BF339" s="11"/>
    </row>
    <row r="340" spans="17:58" s="9" customFormat="1" x14ac:dyDescent="0.3">
      <c r="BF340" s="11"/>
    </row>
    <row r="341" spans="17:58" s="9" customFormat="1" x14ac:dyDescent="0.3">
      <c r="BF341" s="11"/>
    </row>
    <row r="342" spans="17:58" s="9" customFormat="1" x14ac:dyDescent="0.3">
      <c r="BF342" s="11"/>
    </row>
    <row r="343" spans="17:58" s="9" customFormat="1" x14ac:dyDescent="0.3">
      <c r="BF343" s="11"/>
    </row>
    <row r="344" spans="17:58" s="9" customFormat="1" x14ac:dyDescent="0.3">
      <c r="BF344" s="11"/>
    </row>
    <row r="345" spans="17:58" s="9" customFormat="1" x14ac:dyDescent="0.3">
      <c r="BF345" s="11"/>
    </row>
    <row r="346" spans="17:58" s="9" customFormat="1" x14ac:dyDescent="0.3">
      <c r="BF346" s="11"/>
    </row>
    <row r="347" spans="17:58" s="9" customFormat="1" x14ac:dyDescent="0.3">
      <c r="BF347" s="11"/>
    </row>
    <row r="348" spans="17:58" s="9" customFormat="1" x14ac:dyDescent="0.3">
      <c r="BF348" s="11"/>
    </row>
    <row r="349" spans="17:58" s="9" customFormat="1" x14ac:dyDescent="0.3">
      <c r="BF349" s="11"/>
    </row>
    <row r="350" spans="17:58" x14ac:dyDescent="0.3">
      <c r="Q350" s="9"/>
    </row>
    <row r="351" spans="17:58" x14ac:dyDescent="0.3">
      <c r="Q351" s="9"/>
    </row>
    <row r="352" spans="17:58" x14ac:dyDescent="0.3">
      <c r="Q352" s="9"/>
    </row>
    <row r="353" spans="17:17" x14ac:dyDescent="0.3">
      <c r="Q353" s="9"/>
    </row>
    <row r="354" spans="17:17" x14ac:dyDescent="0.3">
      <c r="Q354" s="9"/>
    </row>
  </sheetData>
  <customSheetViews>
    <customSheetView guid="{E748B311-90F6-4A4B-A4FB-821E74008EC3}" scale="75" showPageBreaks="1" fitToPage="1" printArea="1" showRuler="0">
      <pageMargins left="0.75" right="0.75" top="0.64" bottom="0.64" header="0.5" footer="0.5"/>
      <pageSetup scale="43" fitToHeight="2" orientation="landscape" verticalDpi="300" r:id="rId1"/>
      <headerFooter alignWithMargins="0"/>
    </customSheetView>
  </customSheetViews>
  <mergeCells count="22">
    <mergeCell ref="B8:C8"/>
    <mergeCell ref="B9:C9"/>
    <mergeCell ref="C14:J14"/>
    <mergeCell ref="E16:N16"/>
    <mergeCell ref="E153:J153"/>
    <mergeCell ref="F138:K138"/>
    <mergeCell ref="C13:G13"/>
    <mergeCell ref="C49:L49"/>
    <mergeCell ref="K44:N44"/>
    <mergeCell ref="C123:F123"/>
    <mergeCell ref="D157:I157"/>
    <mergeCell ref="I28:L28"/>
    <mergeCell ref="J116:M116"/>
    <mergeCell ref="K46:N46"/>
    <mergeCell ref="L32:O32"/>
    <mergeCell ref="C30:L30"/>
    <mergeCell ref="E141:L141"/>
    <mergeCell ref="C139:F139"/>
    <mergeCell ref="E126:M126"/>
    <mergeCell ref="E32:K32"/>
    <mergeCell ref="C55:E55"/>
    <mergeCell ref="C56:E56"/>
  </mergeCells>
  <phoneticPr fontId="26" type="noConversion"/>
  <pageMargins left="0.75" right="0.75" top="0.64" bottom="0.64" header="0.5" footer="0.5"/>
  <pageSetup scale="43" fitToHeight="2" orientation="landscape" r:id="rId2"/>
  <headerFooter alignWithMargins="0">
    <oddHeader>&amp;L&amp;D&amp;R&amp;F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R34"/>
  <sheetViews>
    <sheetView zoomScale="75" zoomScaleNormal="75" workbookViewId="0"/>
  </sheetViews>
  <sheetFormatPr defaultColWidth="9.6640625" defaultRowHeight="13.8" x14ac:dyDescent="0.3"/>
  <cols>
    <col min="1" max="1" width="3.5546875" style="87" customWidth="1"/>
    <col min="2" max="2" width="16" style="87" customWidth="1"/>
    <col min="3" max="3" width="3.88671875" style="87" customWidth="1"/>
    <col min="4" max="4" width="18.109375" style="87" customWidth="1"/>
    <col min="5" max="5" width="16.6640625" style="87" customWidth="1"/>
    <col min="6" max="6" width="19.33203125" style="87" customWidth="1"/>
    <col min="7" max="7" width="14.6640625" style="87" customWidth="1"/>
    <col min="8" max="8" width="21" style="87" customWidth="1"/>
    <col min="9" max="9" width="11.6640625" style="87" customWidth="1"/>
    <col min="10" max="10" width="11" style="87" customWidth="1"/>
    <col min="11" max="11" width="15.109375" style="87" customWidth="1"/>
    <col min="12" max="12" width="19.6640625" style="87" customWidth="1"/>
    <col min="13" max="13" width="13" style="87" customWidth="1"/>
    <col min="14" max="14" width="19.88671875" style="87" customWidth="1"/>
    <col min="15" max="15" width="18.5546875" style="87" customWidth="1"/>
    <col min="16" max="16" width="21" style="87" customWidth="1"/>
    <col min="17" max="17" width="21.44140625" style="87" customWidth="1"/>
    <col min="18" max="16384" width="9.6640625" style="87"/>
  </cols>
  <sheetData>
    <row r="1" spans="2:18" s="92" customFormat="1" ht="16.5" customHeight="1" x14ac:dyDescent="0.3">
      <c r="B1" s="217"/>
      <c r="C1" s="112"/>
      <c r="D1" s="112"/>
      <c r="E1" s="112"/>
      <c r="F1" s="112"/>
      <c r="G1" s="112"/>
      <c r="H1" s="112"/>
      <c r="I1" s="112"/>
      <c r="J1" s="112"/>
      <c r="K1" s="112"/>
      <c r="L1" s="112"/>
    </row>
    <row r="2" spans="2:18" s="92" customFormat="1" x14ac:dyDescent="0.3"/>
    <row r="3" spans="2:18" s="35" customFormat="1" ht="46.5" customHeight="1" x14ac:dyDescent="0.45">
      <c r="D3" s="855" t="s">
        <v>306</v>
      </c>
      <c r="E3" s="825"/>
      <c r="F3" s="825"/>
      <c r="G3" s="825"/>
      <c r="H3" s="825"/>
      <c r="I3" s="825"/>
      <c r="J3" s="825"/>
      <c r="K3" s="825"/>
      <c r="L3" s="825"/>
    </row>
    <row r="4" spans="2:18" s="35" customFormat="1" ht="17.25" customHeight="1" x14ac:dyDescent="0.45">
      <c r="D4" s="524"/>
      <c r="E4" s="112"/>
      <c r="F4" s="112"/>
      <c r="G4" s="112"/>
      <c r="H4" s="112"/>
      <c r="I4" s="112"/>
      <c r="J4" s="112"/>
      <c r="K4" s="112"/>
      <c r="L4" s="112"/>
    </row>
    <row r="5" spans="2:18" s="35" customFormat="1" ht="18" customHeight="1" x14ac:dyDescent="0.3">
      <c r="D5" s="463" t="s">
        <v>310</v>
      </c>
    </row>
    <row r="6" spans="2:18" s="35" customFormat="1" ht="18" customHeight="1" thickBot="1" x14ac:dyDescent="0.35">
      <c r="D6" s="525"/>
      <c r="G6" s="97"/>
    </row>
    <row r="7" spans="2:18" s="35" customFormat="1" ht="24" customHeight="1" thickTop="1" x14ac:dyDescent="0.3">
      <c r="D7" s="98" t="s">
        <v>283</v>
      </c>
      <c r="E7" s="118"/>
      <c r="F7" s="118"/>
      <c r="G7" s="102"/>
      <c r="H7" s="119"/>
    </row>
    <row r="8" spans="2:18" s="35" customFormat="1" ht="18" customHeight="1" x14ac:dyDescent="0.3">
      <c r="D8" s="119"/>
      <c r="E8" s="215" t="s">
        <v>564</v>
      </c>
      <c r="F8" s="28"/>
      <c r="G8" s="104"/>
    </row>
    <row r="9" spans="2:18" s="35" customFormat="1" ht="18" customHeight="1" x14ac:dyDescent="0.3">
      <c r="D9" s="119"/>
      <c r="E9" s="215" t="s">
        <v>565</v>
      </c>
      <c r="F9" s="29"/>
      <c r="G9" s="104"/>
    </row>
    <row r="10" spans="2:18" s="35" customFormat="1" ht="18" customHeight="1" thickBot="1" x14ac:dyDescent="0.35">
      <c r="D10" s="169"/>
      <c r="E10" s="97"/>
      <c r="F10" s="97"/>
      <c r="G10" s="111"/>
    </row>
    <row r="11" spans="2:18" s="35" customFormat="1" ht="18" customHeight="1" thickTop="1" thickBot="1" x14ac:dyDescent="0.35">
      <c r="C11" s="105"/>
      <c r="Q11" s="97"/>
      <c r="R11" s="97"/>
    </row>
    <row r="12" spans="2:18" s="35" customFormat="1" ht="45" customHeight="1" thickTop="1" thickBot="1" x14ac:dyDescent="0.35">
      <c r="B12" s="454"/>
      <c r="C12" s="856" t="s">
        <v>306</v>
      </c>
      <c r="D12" s="857"/>
      <c r="E12" s="857"/>
      <c r="F12" s="857"/>
      <c r="G12" s="857"/>
      <c r="H12" s="857"/>
      <c r="I12" s="857"/>
      <c r="J12" s="857"/>
      <c r="K12" s="857"/>
      <c r="L12" s="455"/>
      <c r="M12" s="455"/>
      <c r="N12" s="455"/>
      <c r="O12" s="455"/>
      <c r="P12" s="455"/>
      <c r="Q12" s="455"/>
      <c r="R12" s="456"/>
    </row>
    <row r="13" spans="2:18" s="35" customFormat="1" ht="18" customHeight="1" thickTop="1" x14ac:dyDescent="0.3">
      <c r="B13" s="119"/>
      <c r="R13" s="104"/>
    </row>
    <row r="14" spans="2:18" s="35" customFormat="1" ht="27" customHeight="1" x14ac:dyDescent="0.3">
      <c r="B14" s="119"/>
      <c r="D14" s="854" t="s">
        <v>662</v>
      </c>
      <c r="E14" s="825"/>
      <c r="F14" s="825"/>
      <c r="G14" s="825"/>
      <c r="H14" s="825"/>
      <c r="I14" s="825"/>
      <c r="J14" s="825"/>
      <c r="K14" s="825"/>
      <c r="L14" s="825"/>
      <c r="M14" s="112"/>
      <c r="N14" s="112"/>
      <c r="O14" s="112"/>
      <c r="R14" s="104"/>
    </row>
    <row r="15" spans="2:18" s="35" customFormat="1" ht="18" customHeight="1" x14ac:dyDescent="0.3">
      <c r="B15" s="119"/>
      <c r="M15" s="526"/>
      <c r="N15" s="526"/>
      <c r="P15" s="526"/>
      <c r="R15" s="104"/>
    </row>
    <row r="16" spans="2:18" s="92" customFormat="1" ht="15" customHeight="1" x14ac:dyDescent="0.3">
      <c r="B16" s="119"/>
      <c r="C16" s="35"/>
      <c r="D16" s="152" t="s">
        <v>450</v>
      </c>
      <c r="E16" s="152" t="s">
        <v>465</v>
      </c>
      <c r="F16" s="152" t="s">
        <v>466</v>
      </c>
      <c r="G16" s="152" t="s">
        <v>467</v>
      </c>
      <c r="H16" s="152" t="s">
        <v>481</v>
      </c>
      <c r="I16" s="130"/>
      <c r="J16" s="130"/>
      <c r="K16" s="152" t="s">
        <v>482</v>
      </c>
      <c r="L16" s="152" t="s">
        <v>483</v>
      </c>
      <c r="M16" s="152" t="s">
        <v>63</v>
      </c>
      <c r="N16" s="152" t="s">
        <v>117</v>
      </c>
      <c r="O16" s="152" t="s">
        <v>118</v>
      </c>
      <c r="P16" s="152" t="s">
        <v>1</v>
      </c>
      <c r="Q16" s="152" t="s">
        <v>2</v>
      </c>
      <c r="R16" s="104"/>
    </row>
    <row r="17" spans="2:18" s="92" customFormat="1" ht="14.25" customHeight="1" x14ac:dyDescent="0.3">
      <c r="B17" s="119"/>
      <c r="C17" s="35"/>
      <c r="D17" s="152" t="s">
        <v>333</v>
      </c>
      <c r="E17" s="152" t="s">
        <v>334</v>
      </c>
      <c r="F17" s="548" t="s">
        <v>340</v>
      </c>
      <c r="G17" s="152" t="s">
        <v>335</v>
      </c>
      <c r="H17" s="152" t="s">
        <v>336</v>
      </c>
      <c r="I17" s="130"/>
      <c r="J17" s="130"/>
      <c r="K17" s="152" t="s">
        <v>339</v>
      </c>
      <c r="L17" s="152" t="s">
        <v>348</v>
      </c>
      <c r="M17" s="152" t="s">
        <v>44</v>
      </c>
      <c r="N17" s="152" t="s">
        <v>55</v>
      </c>
      <c r="O17" s="547" t="s">
        <v>56</v>
      </c>
      <c r="P17" s="152" t="s">
        <v>95</v>
      </c>
      <c r="Q17" s="152" t="s">
        <v>96</v>
      </c>
      <c r="R17" s="104"/>
    </row>
    <row r="18" spans="2:18" s="92" customFormat="1" ht="77.400000000000006" customHeight="1" x14ac:dyDescent="0.3">
      <c r="B18" s="119"/>
      <c r="C18" s="35"/>
      <c r="D18" s="157" t="s">
        <v>503</v>
      </c>
      <c r="E18" s="157" t="s">
        <v>502</v>
      </c>
      <c r="F18" s="157" t="s">
        <v>3</v>
      </c>
      <c r="G18" s="158" t="s">
        <v>4</v>
      </c>
      <c r="H18" s="157" t="s">
        <v>653</v>
      </c>
      <c r="I18" s="853" t="s">
        <v>654</v>
      </c>
      <c r="J18" s="793"/>
      <c r="K18" s="157" t="s">
        <v>5</v>
      </c>
      <c r="L18" s="157" t="s">
        <v>655</v>
      </c>
      <c r="M18" s="157" t="s">
        <v>656</v>
      </c>
      <c r="N18" s="157" t="s">
        <v>657</v>
      </c>
      <c r="O18" s="158" t="s">
        <v>658</v>
      </c>
      <c r="P18" s="544" t="s">
        <v>115</v>
      </c>
      <c r="Q18" s="545" t="s">
        <v>116</v>
      </c>
      <c r="R18" s="104"/>
    </row>
    <row r="19" spans="2:18" s="92" customFormat="1" ht="126" customHeight="1" x14ac:dyDescent="0.3">
      <c r="B19" s="119"/>
      <c r="C19" s="35"/>
      <c r="D19" s="134"/>
      <c r="E19" s="134"/>
      <c r="F19" s="134"/>
      <c r="G19" s="529"/>
      <c r="H19" s="158" t="s">
        <v>119</v>
      </c>
      <c r="I19" s="157" t="s">
        <v>6</v>
      </c>
      <c r="J19" s="157" t="s">
        <v>7</v>
      </c>
      <c r="K19" s="158" t="s">
        <v>431</v>
      </c>
      <c r="L19" s="158" t="s">
        <v>8</v>
      </c>
      <c r="M19" s="158" t="s">
        <v>9</v>
      </c>
      <c r="N19" s="158" t="s">
        <v>10</v>
      </c>
      <c r="O19" s="158" t="s">
        <v>11</v>
      </c>
      <c r="P19" s="158" t="s">
        <v>12</v>
      </c>
      <c r="Q19" s="546" t="s">
        <v>13</v>
      </c>
      <c r="R19" s="104"/>
    </row>
    <row r="20" spans="2:18" s="92" customFormat="1" ht="26.25" customHeight="1" x14ac:dyDescent="0.3">
      <c r="B20" s="119"/>
      <c r="C20" s="35"/>
      <c r="D20" s="530" t="s">
        <v>504</v>
      </c>
      <c r="E20" s="531" t="s">
        <v>505</v>
      </c>
      <c r="F20" s="531" t="s">
        <v>505</v>
      </c>
      <c r="G20" s="532" t="s">
        <v>504</v>
      </c>
      <c r="H20" s="531" t="s">
        <v>663</v>
      </c>
      <c r="I20" s="122"/>
      <c r="J20" s="122"/>
      <c r="K20" s="531" t="s">
        <v>659</v>
      </c>
      <c r="L20" s="531"/>
      <c r="M20" s="531"/>
      <c r="N20" s="530" t="s">
        <v>663</v>
      </c>
      <c r="O20" s="532" t="s">
        <v>663</v>
      </c>
      <c r="P20" s="533" t="s">
        <v>664</v>
      </c>
      <c r="Q20" s="534" t="s">
        <v>664</v>
      </c>
      <c r="R20" s="104"/>
    </row>
    <row r="21" spans="2:18" s="92" customFormat="1" ht="19.5" customHeight="1" x14ac:dyDescent="0.3">
      <c r="B21" s="119"/>
      <c r="C21" s="535" t="s">
        <v>93</v>
      </c>
      <c r="D21" s="137">
        <v>1000000</v>
      </c>
      <c r="E21" s="137">
        <v>500000</v>
      </c>
      <c r="F21" s="536">
        <v>2679000</v>
      </c>
      <c r="G21" s="529" t="s">
        <v>135</v>
      </c>
      <c r="H21" s="529">
        <v>587.4</v>
      </c>
      <c r="I21" s="134">
        <f>IF(ISERROR(D21/(F21-E21)),"",D21/(F21-E21))</f>
        <v>0.45892611289582375</v>
      </c>
      <c r="J21" s="134">
        <f>IF(ISERROR((F21-D21)/E21),"",(F21-D21)/E21)</f>
        <v>3.3580000000000001</v>
      </c>
      <c r="K21" s="136">
        <v>2.2999999999999998</v>
      </c>
      <c r="L21" s="136">
        <f>+IF(ISERROR((D21+K21*E21)/(F21*K21)),"",(D21+K21*E21)/(F21*K21))</f>
        <v>0.3489296784978172</v>
      </c>
      <c r="M21" s="136">
        <f>IF(ISERROR(K21*L21),"",K21*L21)</f>
        <v>0.80253826054497945</v>
      </c>
      <c r="N21" s="136">
        <f>+IF(ISERROR(H21*(D21/(D21+E21*K21))),"",H21*(D21/(D21+E21*K21)))</f>
        <v>273.2093023255814</v>
      </c>
      <c r="O21" s="134">
        <f>IF(ISERROR(H21-N21),"",H21-N21)</f>
        <v>314.19069767441857</v>
      </c>
      <c r="P21" s="134">
        <f>IF(ISERROR(N21*1000/D21),"",N21*1000/D21)</f>
        <v>0.27320930232558144</v>
      </c>
      <c r="Q21" s="134">
        <f>IF(ISERROR(O21*1000/E21),"",O21*1000/E21)</f>
        <v>0.62838139534883708</v>
      </c>
      <c r="R21" s="104"/>
    </row>
    <row r="22" spans="2:18" s="541" customFormat="1" ht="10.5" customHeight="1" x14ac:dyDescent="0.3">
      <c r="B22" s="124"/>
      <c r="C22" s="537"/>
      <c r="D22" s="538"/>
      <c r="E22" s="539"/>
      <c r="F22" s="539"/>
      <c r="G22" s="142"/>
      <c r="H22" s="142"/>
      <c r="I22" s="529" t="str">
        <f>IF(ISERROR(D22/(F22-E22)),"",D22/(F22-E22))</f>
        <v/>
      </c>
      <c r="J22" s="529" t="str">
        <f>IF(ISERROR((F22-D22)/E22),"",(F22-D22)/E22)</f>
        <v/>
      </c>
      <c r="K22" s="539"/>
      <c r="L22" s="136"/>
      <c r="M22" s="136"/>
      <c r="N22" s="136"/>
      <c r="O22" s="134"/>
      <c r="P22" s="134"/>
      <c r="Q22" s="134"/>
      <c r="R22" s="540"/>
    </row>
    <row r="23" spans="2:18" s="543" customFormat="1" ht="20.25" customHeight="1" x14ac:dyDescent="0.25">
      <c r="B23" s="181" t="s">
        <v>660</v>
      </c>
      <c r="C23" s="183"/>
      <c r="D23" s="496"/>
      <c r="E23" s="550"/>
      <c r="F23" s="551"/>
      <c r="G23" s="552"/>
      <c r="H23" s="551"/>
      <c r="I23" s="173" t="str">
        <f>IF(ISERROR(D23/(F23-E23)),"",D23/(F23-E23))</f>
        <v/>
      </c>
      <c r="J23" s="173" t="str">
        <f>IF(ISERROR((F23-D23)/E23),"",(F23-D23)/E23)</f>
        <v/>
      </c>
      <c r="K23" s="549"/>
      <c r="L23" s="438" t="str">
        <f>+IF(ISERROR((D23+K23*E23)/(F23*K23)),"",(D23+K23*E23)/(F23*K23))</f>
        <v/>
      </c>
      <c r="M23" s="438" t="str">
        <f>IF(ISERROR(K23*L23),"",K23*L23)</f>
        <v/>
      </c>
      <c r="N23" s="173" t="str">
        <f>+IF(ISERROR(H23*(D23/(D23+E23*K23))),"",H23*(D23/(D23+E23*K23)))</f>
        <v/>
      </c>
      <c r="O23" s="173" t="str">
        <f>IF(ISERROR(H23-N23),"",H23-N23)</f>
        <v/>
      </c>
      <c r="P23" s="173" t="str">
        <f t="shared" ref="P23:Q25" si="0">IF(ISERROR(N23*1000/D23),"",N23*1000/D23)</f>
        <v/>
      </c>
      <c r="Q23" s="173" t="str">
        <f t="shared" si="0"/>
        <v/>
      </c>
      <c r="R23" s="184"/>
    </row>
    <row r="24" spans="2:18" s="543" customFormat="1" ht="19.5" customHeight="1" x14ac:dyDescent="0.25">
      <c r="B24" s="181" t="s">
        <v>661</v>
      </c>
      <c r="C24" s="183"/>
      <c r="D24" s="496"/>
      <c r="E24" s="496"/>
      <c r="F24" s="496"/>
      <c r="G24" s="496"/>
      <c r="H24" s="550"/>
      <c r="I24" s="173" t="str">
        <f>IF(ISERROR(D24/(F24-E24)),"",D24/(F24-E24))</f>
        <v/>
      </c>
      <c r="J24" s="173" t="str">
        <f>IF(ISERROR((F24-D24)/E24),"",(F24-D24)/E24)</f>
        <v/>
      </c>
      <c r="K24" s="549"/>
      <c r="L24" s="438" t="str">
        <f>+IF(ISERROR((D24+K24*E24)/(F24*K24)),"",(D24+K24*E24)/(F24*K24))</f>
        <v/>
      </c>
      <c r="M24" s="438" t="str">
        <f>IF(ISERROR(K24*L24),"",K24*L24)</f>
        <v/>
      </c>
      <c r="N24" s="173" t="str">
        <f>+IF(ISERROR(H24*(D24/(D24+E24*K24))),"",H24*(D24/(D24+E24*K24)))</f>
        <v/>
      </c>
      <c r="O24" s="173" t="str">
        <f>IF(ISERROR(H24-N24),"",H24-N24)</f>
        <v/>
      </c>
      <c r="P24" s="173" t="str">
        <f t="shared" si="0"/>
        <v/>
      </c>
      <c r="Q24" s="173" t="str">
        <f t="shared" si="0"/>
        <v/>
      </c>
      <c r="R24" s="184"/>
    </row>
    <row r="25" spans="2:18" s="543" customFormat="1" ht="19.5" customHeight="1" x14ac:dyDescent="0.25">
      <c r="B25" s="181"/>
      <c r="C25" s="183"/>
      <c r="D25" s="496"/>
      <c r="E25" s="489"/>
      <c r="F25" s="496"/>
      <c r="G25" s="496"/>
      <c r="H25" s="550"/>
      <c r="I25" s="173" t="str">
        <f>IF(ISERROR(D25/(F25-#REF!)),"",D25/(F25-#REF!))</f>
        <v/>
      </c>
      <c r="J25" s="173" t="str">
        <f>IF(ISERROR((F25-D25)/#REF!),"",(F25-D25)/#REF!)</f>
        <v/>
      </c>
      <c r="K25" s="549"/>
      <c r="L25" s="438" t="str">
        <f>+IF(ISERROR((D25+K25*#REF!)/(F25*K25)),"",(D25+K25*#REF!)/(F25*K25))</f>
        <v/>
      </c>
      <c r="M25" s="438" t="str">
        <f>IF(ISERROR(K25*L25),"",K25*L25)</f>
        <v/>
      </c>
      <c r="N25" s="438" t="str">
        <f>+IF(ISERROR(H25*(D25/(D25+#REF!*K25))),"",H25*(D25/(D25+#REF!*K25)))</f>
        <v/>
      </c>
      <c r="O25" s="173" t="str">
        <f>IF(ISERROR(H25-N25),"",H25-N25)</f>
        <v/>
      </c>
      <c r="P25" s="173" t="str">
        <f t="shared" si="0"/>
        <v/>
      </c>
      <c r="Q25" s="173" t="str">
        <f>IF(ISERROR(O25*1000/#REF!),"",O25*1000/#REF!)</f>
        <v/>
      </c>
      <c r="R25" s="184"/>
    </row>
    <row r="26" spans="2:18" s="92" customFormat="1" ht="19.5" customHeight="1" x14ac:dyDescent="0.3">
      <c r="B26" s="119"/>
      <c r="C26" s="35"/>
      <c r="D26" s="421"/>
      <c r="E26" s="421"/>
      <c r="F26" s="421"/>
      <c r="G26" s="421"/>
      <c r="H26" s="421"/>
      <c r="I26" s="421"/>
      <c r="J26" s="421"/>
      <c r="K26" s="421"/>
      <c r="L26" s="421"/>
      <c r="M26" s="421"/>
      <c r="N26" s="71"/>
      <c r="O26" s="35"/>
      <c r="P26" s="71"/>
      <c r="R26" s="104"/>
    </row>
    <row r="27" spans="2:18" s="92" customFormat="1" ht="14.4" thickBot="1" x14ac:dyDescent="0.35">
      <c r="B27" s="169"/>
      <c r="C27" s="97"/>
      <c r="D27" s="97"/>
      <c r="E27" s="97"/>
      <c r="F27" s="97"/>
      <c r="G27" s="97"/>
      <c r="H27" s="97"/>
      <c r="I27" s="97"/>
      <c r="J27" s="97"/>
      <c r="K27" s="97"/>
      <c r="L27" s="97"/>
      <c r="M27" s="97"/>
      <c r="N27" s="97"/>
      <c r="O27" s="97"/>
      <c r="P27" s="97"/>
      <c r="Q27" s="97"/>
      <c r="R27" s="111"/>
    </row>
    <row r="28" spans="2:18" s="92" customFormat="1" ht="14.4" thickBot="1" x14ac:dyDescent="0.35"/>
    <row r="29" spans="2:18" s="92" customFormat="1" x14ac:dyDescent="0.3"/>
    <row r="30" spans="2:18" s="92" customFormat="1" x14ac:dyDescent="0.3"/>
    <row r="31" spans="2:18" s="92" customFormat="1" ht="112.5" customHeight="1" x14ac:dyDescent="0.3">
      <c r="B31" s="850" t="s">
        <v>14</v>
      </c>
      <c r="C31" s="851"/>
      <c r="D31" s="851"/>
      <c r="E31" s="851"/>
      <c r="F31" s="851"/>
      <c r="G31" s="851"/>
      <c r="H31" s="851"/>
      <c r="I31" s="851"/>
      <c r="J31" s="852"/>
    </row>
    <row r="32" spans="2:18" s="92" customFormat="1" x14ac:dyDescent="0.3"/>
    <row r="34" spans="12:13" x14ac:dyDescent="0.3">
      <c r="L34" s="88"/>
      <c r="M34" s="88"/>
    </row>
  </sheetData>
  <customSheetViews>
    <customSheetView guid="{E748B311-90F6-4A4B-A4FB-821E74008EC3}" scale="75" showPageBreaks="1" fitToPage="1" printArea="1" showRuler="0">
      <rowBreaks count="1" manualBreakCount="1">
        <brk id="11" max="16383" man="1"/>
      </rowBreaks>
      <pageMargins left="0.75" right="0.75" top="1" bottom="1" header="0.5" footer="0.5"/>
      <pageSetup scale="46" orientation="landscape" r:id="rId1"/>
      <headerFooter alignWithMargins="0"/>
    </customSheetView>
  </customSheetViews>
  <mergeCells count="5">
    <mergeCell ref="B31:J31"/>
    <mergeCell ref="I18:J18"/>
    <mergeCell ref="D14:L14"/>
    <mergeCell ref="D3:L3"/>
    <mergeCell ref="C12:K12"/>
  </mergeCells>
  <phoneticPr fontId="26" type="noConversion"/>
  <pageMargins left="0.75" right="0.75" top="1" bottom="1" header="0.5" footer="0.5"/>
  <pageSetup scale="46" orientation="landscape" r:id="rId2"/>
  <headerFooter alignWithMargins="0">
    <oddHeader>&amp;L&amp;D&amp;R&amp;F</oddHeader>
  </headerFooter>
  <rowBreaks count="1" manualBreakCount="1">
    <brk id="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L36"/>
  <sheetViews>
    <sheetView zoomScale="75" zoomScaleNormal="75" workbookViewId="0"/>
  </sheetViews>
  <sheetFormatPr defaultColWidth="9.6640625" defaultRowHeight="13.8" x14ac:dyDescent="0.3"/>
  <cols>
    <col min="1" max="1" width="9.109375" style="87" customWidth="1"/>
    <col min="2" max="2" width="3.88671875" style="87" customWidth="1"/>
    <col min="3" max="3" width="31.5546875" style="87" customWidth="1"/>
    <col min="4" max="4" width="18.88671875" style="87" customWidth="1"/>
    <col min="5" max="5" width="17.44140625" style="87" customWidth="1"/>
    <col min="6" max="6" width="20.5546875" style="87" customWidth="1"/>
    <col min="7" max="7" width="22.109375" style="87" customWidth="1"/>
    <col min="8" max="8" width="20.5546875" style="87" customWidth="1"/>
    <col min="9" max="9" width="20.33203125" style="87" customWidth="1"/>
    <col min="10" max="10" width="21.44140625" style="87" customWidth="1"/>
    <col min="11" max="11" width="40.88671875" style="87" customWidth="1"/>
    <col min="12" max="16384" width="9.6640625" style="87"/>
  </cols>
  <sheetData>
    <row r="1" spans="2:12" s="35" customFormat="1" ht="23.25" customHeight="1" x14ac:dyDescent="0.45">
      <c r="C1" s="553" t="s">
        <v>307</v>
      </c>
    </row>
    <row r="2" spans="2:12" s="35" customFormat="1" ht="24" customHeight="1" x14ac:dyDescent="0.45">
      <c r="C2" s="553" t="s">
        <v>277</v>
      </c>
    </row>
    <row r="3" spans="2:12" s="35" customFormat="1" ht="18" customHeight="1" thickBot="1" x14ac:dyDescent="0.35">
      <c r="F3" s="97"/>
    </row>
    <row r="4" spans="2:12" s="35" customFormat="1" ht="18" customHeight="1" thickTop="1" x14ac:dyDescent="0.35">
      <c r="B4" s="98" t="s">
        <v>283</v>
      </c>
      <c r="C4" s="118"/>
      <c r="D4" s="100"/>
      <c r="E4" s="118"/>
      <c r="G4" s="102"/>
    </row>
    <row r="5" spans="2:12" s="35" customFormat="1" ht="18" customHeight="1" x14ac:dyDescent="0.3">
      <c r="B5" s="554"/>
      <c r="D5" s="215" t="s">
        <v>564</v>
      </c>
      <c r="E5" s="28"/>
      <c r="F5" s="103"/>
      <c r="G5" s="104"/>
    </row>
    <row r="6" spans="2:12" s="35" customFormat="1" ht="18" customHeight="1" x14ac:dyDescent="0.3">
      <c r="B6" s="119"/>
      <c r="D6" s="215" t="s">
        <v>565</v>
      </c>
      <c r="E6" s="29"/>
      <c r="F6" s="555"/>
      <c r="G6" s="104"/>
    </row>
    <row r="7" spans="2:12" s="35" customFormat="1" ht="18" customHeight="1" thickBot="1" x14ac:dyDescent="0.35">
      <c r="B7" s="169"/>
      <c r="C7" s="97"/>
      <c r="D7" s="97"/>
      <c r="E7" s="97"/>
      <c r="F7" s="97"/>
      <c r="G7" s="111"/>
    </row>
    <row r="8" spans="2:12" s="35" customFormat="1" ht="18" customHeight="1" thickTop="1" thickBot="1" x14ac:dyDescent="0.35"/>
    <row r="9" spans="2:12" s="35" customFormat="1" ht="18" customHeight="1" thickTop="1" x14ac:dyDescent="0.3">
      <c r="B9" s="316"/>
      <c r="C9" s="99" t="s">
        <v>309</v>
      </c>
      <c r="D9" s="118"/>
      <c r="E9" s="118"/>
      <c r="F9" s="118"/>
      <c r="G9" s="118"/>
      <c r="H9" s="118"/>
      <c r="I9" s="118"/>
      <c r="J9" s="118"/>
      <c r="K9" s="118"/>
      <c r="L9" s="102"/>
    </row>
    <row r="10" spans="2:12" s="35" customFormat="1" ht="18" customHeight="1" x14ac:dyDescent="0.3">
      <c r="B10" s="119"/>
      <c r="L10" s="104"/>
    </row>
    <row r="11" spans="2:12" s="92" customFormat="1" ht="20.100000000000001" customHeight="1" x14ac:dyDescent="0.3">
      <c r="B11" s="119"/>
      <c r="C11" s="556"/>
      <c r="D11" s="130" t="s">
        <v>450</v>
      </c>
      <c r="E11" s="804" t="s">
        <v>465</v>
      </c>
      <c r="F11" s="858"/>
      <c r="G11" s="859"/>
      <c r="H11" s="804" t="s">
        <v>466</v>
      </c>
      <c r="I11" s="858"/>
      <c r="J11" s="859"/>
      <c r="K11" s="130" t="s">
        <v>467</v>
      </c>
      <c r="L11" s="104"/>
    </row>
    <row r="12" spans="2:12" s="92" customFormat="1" ht="20.100000000000001" customHeight="1" x14ac:dyDescent="0.3">
      <c r="B12" s="119"/>
      <c r="C12" s="556"/>
      <c r="D12" s="152" t="s">
        <v>333</v>
      </c>
      <c r="E12" s="152" t="s">
        <v>334</v>
      </c>
      <c r="F12" s="152" t="s">
        <v>340</v>
      </c>
      <c r="G12" s="152" t="s">
        <v>335</v>
      </c>
      <c r="H12" s="152" t="s">
        <v>336</v>
      </c>
      <c r="I12" s="152" t="s">
        <v>339</v>
      </c>
      <c r="J12" s="152" t="s">
        <v>348</v>
      </c>
      <c r="K12" s="152" t="s">
        <v>44</v>
      </c>
      <c r="L12" s="104"/>
    </row>
    <row r="13" spans="2:12" s="92" customFormat="1" ht="45" customHeight="1" x14ac:dyDescent="0.3">
      <c r="B13" s="119"/>
      <c r="C13" s="556"/>
      <c r="D13" s="157" t="s">
        <v>480</v>
      </c>
      <c r="E13" s="157" t="s">
        <v>665</v>
      </c>
      <c r="F13" s="157" t="s">
        <v>666</v>
      </c>
      <c r="G13" s="157" t="s">
        <v>667</v>
      </c>
      <c r="H13" s="158" t="s">
        <v>668</v>
      </c>
      <c r="I13" s="158" t="s">
        <v>669</v>
      </c>
      <c r="J13" s="158" t="s">
        <v>670</v>
      </c>
      <c r="K13" s="158" t="s">
        <v>256</v>
      </c>
      <c r="L13" s="104"/>
    </row>
    <row r="14" spans="2:12" s="92" customFormat="1" ht="27.75" customHeight="1" x14ac:dyDescent="0.3">
      <c r="B14" s="119"/>
      <c r="C14" s="556"/>
      <c r="D14" s="158"/>
      <c r="E14" s="158"/>
      <c r="F14" s="158"/>
      <c r="G14" s="158"/>
      <c r="H14" s="571" t="s">
        <v>37</v>
      </c>
      <c r="I14" s="571" t="s">
        <v>38</v>
      </c>
      <c r="J14" s="571" t="s">
        <v>39</v>
      </c>
      <c r="K14" s="571"/>
      <c r="L14" s="104"/>
    </row>
    <row r="15" spans="2:12" s="92" customFormat="1" ht="19.5" customHeight="1" x14ac:dyDescent="0.3">
      <c r="B15" s="119"/>
      <c r="C15" s="557"/>
      <c r="D15" s="572" t="s">
        <v>92</v>
      </c>
      <c r="E15" s="573" t="s">
        <v>671</v>
      </c>
      <c r="F15" s="573" t="s">
        <v>672</v>
      </c>
      <c r="G15" s="573" t="s">
        <v>673</v>
      </c>
      <c r="H15" s="573" t="s">
        <v>674</v>
      </c>
      <c r="I15" s="573" t="s">
        <v>675</v>
      </c>
      <c r="J15" s="573" t="s">
        <v>676</v>
      </c>
      <c r="K15" s="572" t="s">
        <v>112</v>
      </c>
      <c r="L15" s="104"/>
    </row>
    <row r="16" spans="2:12" s="92" customFormat="1" ht="19.5" customHeight="1" x14ac:dyDescent="0.3">
      <c r="B16" s="119"/>
      <c r="C16" s="386"/>
      <c r="D16" s="136"/>
      <c r="E16" s="136"/>
      <c r="F16" s="136"/>
      <c r="G16" s="136"/>
      <c r="H16" s="136"/>
      <c r="I16" s="136"/>
      <c r="J16" s="136"/>
      <c r="K16" s="136"/>
      <c r="L16" s="104"/>
    </row>
    <row r="17" spans="2:12" s="541" customFormat="1" ht="20.100000000000001" customHeight="1" x14ac:dyDescent="0.3">
      <c r="B17" s="124"/>
      <c r="C17" s="570" t="s">
        <v>468</v>
      </c>
      <c r="D17" s="141"/>
      <c r="E17" s="141"/>
      <c r="F17" s="141"/>
      <c r="G17" s="141"/>
      <c r="H17" s="136"/>
      <c r="I17" s="136"/>
      <c r="J17" s="136"/>
      <c r="K17" s="136"/>
      <c r="L17" s="540"/>
    </row>
    <row r="18" spans="2:12" s="92" customFormat="1" ht="51" customHeight="1" x14ac:dyDescent="0.3">
      <c r="B18" s="119"/>
      <c r="C18" s="558"/>
      <c r="D18" s="542"/>
      <c r="E18" s="462"/>
      <c r="F18" s="559"/>
      <c r="G18" s="559"/>
      <c r="H18" s="158">
        <f>$D18*E18/1000</f>
        <v>0</v>
      </c>
      <c r="I18" s="162">
        <f>$D18*F18/1000</f>
        <v>0</v>
      </c>
      <c r="J18" s="162">
        <f>$D18*G18/1000</f>
        <v>0</v>
      </c>
      <c r="K18" s="560"/>
      <c r="L18" s="104"/>
    </row>
    <row r="19" spans="2:12" s="92" customFormat="1" ht="50.25" customHeight="1" x14ac:dyDescent="0.3">
      <c r="B19" s="119"/>
      <c r="C19" s="558"/>
      <c r="D19" s="542"/>
      <c r="E19" s="462"/>
      <c r="F19" s="559"/>
      <c r="G19" s="559"/>
      <c r="H19" s="158">
        <f t="shared" ref="H19:H27" si="0">$D19*E19/1000</f>
        <v>0</v>
      </c>
      <c r="I19" s="162">
        <f t="shared" ref="I19:I27" si="1">$D19*F19/1000</f>
        <v>0</v>
      </c>
      <c r="J19" s="162">
        <f t="shared" ref="J19:J27" si="2">$D19*G19/1000</f>
        <v>0</v>
      </c>
      <c r="K19" s="560"/>
      <c r="L19" s="104"/>
    </row>
    <row r="20" spans="2:12" s="92" customFormat="1" ht="50.25" customHeight="1" x14ac:dyDescent="0.3">
      <c r="B20" s="119"/>
      <c r="C20" s="558"/>
      <c r="D20" s="561"/>
      <c r="E20" s="462"/>
      <c r="F20" s="559"/>
      <c r="G20" s="559"/>
      <c r="H20" s="158">
        <f t="shared" si="0"/>
        <v>0</v>
      </c>
      <c r="I20" s="162">
        <f t="shared" si="1"/>
        <v>0</v>
      </c>
      <c r="J20" s="162">
        <f t="shared" si="2"/>
        <v>0</v>
      </c>
      <c r="K20" s="495"/>
      <c r="L20" s="104"/>
    </row>
    <row r="21" spans="2:12" s="92" customFormat="1" ht="50.25" customHeight="1" x14ac:dyDescent="0.3">
      <c r="B21" s="119"/>
      <c r="C21" s="558"/>
      <c r="D21" s="561"/>
      <c r="E21" s="462"/>
      <c r="F21" s="559"/>
      <c r="G21" s="559"/>
      <c r="H21" s="158">
        <f t="shared" si="0"/>
        <v>0</v>
      </c>
      <c r="I21" s="162">
        <f t="shared" si="1"/>
        <v>0</v>
      </c>
      <c r="J21" s="162">
        <f t="shared" si="2"/>
        <v>0</v>
      </c>
      <c r="K21" s="495"/>
      <c r="L21" s="104"/>
    </row>
    <row r="22" spans="2:12" s="92" customFormat="1" ht="50.25" customHeight="1" x14ac:dyDescent="0.3">
      <c r="B22" s="119"/>
      <c r="C22" s="558"/>
      <c r="D22" s="561"/>
      <c r="E22" s="462"/>
      <c r="F22" s="559"/>
      <c r="G22" s="559"/>
      <c r="H22" s="158">
        <f t="shared" si="0"/>
        <v>0</v>
      </c>
      <c r="I22" s="162">
        <f t="shared" si="1"/>
        <v>0</v>
      </c>
      <c r="J22" s="162">
        <f t="shared" si="2"/>
        <v>0</v>
      </c>
      <c r="K22" s="495"/>
      <c r="L22" s="104"/>
    </row>
    <row r="23" spans="2:12" s="92" customFormat="1" ht="50.25" customHeight="1" x14ac:dyDescent="0.3">
      <c r="B23" s="119"/>
      <c r="C23" s="558"/>
      <c r="D23" s="561"/>
      <c r="E23" s="462"/>
      <c r="F23" s="559"/>
      <c r="G23" s="559"/>
      <c r="H23" s="158">
        <f t="shared" si="0"/>
        <v>0</v>
      </c>
      <c r="I23" s="162">
        <f t="shared" si="1"/>
        <v>0</v>
      </c>
      <c r="J23" s="162">
        <f t="shared" si="2"/>
        <v>0</v>
      </c>
      <c r="K23" s="495"/>
      <c r="L23" s="104"/>
    </row>
    <row r="24" spans="2:12" s="92" customFormat="1" ht="50.25" customHeight="1" x14ac:dyDescent="0.3">
      <c r="B24" s="119"/>
      <c r="C24" s="558"/>
      <c r="D24" s="561"/>
      <c r="E24" s="462"/>
      <c r="F24" s="559"/>
      <c r="G24" s="559"/>
      <c r="H24" s="158">
        <f t="shared" si="0"/>
        <v>0</v>
      </c>
      <c r="I24" s="162">
        <f t="shared" si="1"/>
        <v>0</v>
      </c>
      <c r="J24" s="162">
        <f t="shared" si="2"/>
        <v>0</v>
      </c>
      <c r="K24" s="495"/>
      <c r="L24" s="104"/>
    </row>
    <row r="25" spans="2:12" s="92" customFormat="1" ht="50.25" customHeight="1" x14ac:dyDescent="0.3">
      <c r="B25" s="119"/>
      <c r="C25" s="558"/>
      <c r="D25" s="562"/>
      <c r="E25" s="462"/>
      <c r="F25" s="559"/>
      <c r="G25" s="559"/>
      <c r="H25" s="158">
        <f t="shared" si="0"/>
        <v>0</v>
      </c>
      <c r="I25" s="162">
        <f t="shared" si="1"/>
        <v>0</v>
      </c>
      <c r="J25" s="162">
        <f t="shared" si="2"/>
        <v>0</v>
      </c>
      <c r="K25" s="495"/>
      <c r="L25" s="104"/>
    </row>
    <row r="26" spans="2:12" s="92" customFormat="1" ht="50.25" customHeight="1" x14ac:dyDescent="0.3">
      <c r="B26" s="119"/>
      <c r="C26" s="558"/>
      <c r="D26" s="561"/>
      <c r="E26" s="562"/>
      <c r="F26" s="563"/>
      <c r="G26" s="563"/>
      <c r="H26" s="158">
        <f t="shared" si="0"/>
        <v>0</v>
      </c>
      <c r="I26" s="162">
        <f t="shared" si="1"/>
        <v>0</v>
      </c>
      <c r="J26" s="162">
        <f t="shared" si="2"/>
        <v>0</v>
      </c>
      <c r="K26" s="495"/>
      <c r="L26" s="104"/>
    </row>
    <row r="27" spans="2:12" s="92" customFormat="1" ht="51" customHeight="1" x14ac:dyDescent="0.3">
      <c r="B27" s="119"/>
      <c r="C27" s="558"/>
      <c r="D27" s="561"/>
      <c r="E27" s="561"/>
      <c r="F27" s="564"/>
      <c r="G27" s="564"/>
      <c r="H27" s="158">
        <f t="shared" si="0"/>
        <v>0</v>
      </c>
      <c r="I27" s="162">
        <f t="shared" si="1"/>
        <v>0</v>
      </c>
      <c r="J27" s="162">
        <f t="shared" si="2"/>
        <v>0</v>
      </c>
      <c r="K27" s="495"/>
      <c r="L27" s="104"/>
    </row>
    <row r="28" spans="2:12" s="92" customFormat="1" ht="19.5" customHeight="1" x14ac:dyDescent="0.35">
      <c r="B28" s="119"/>
      <c r="C28" s="35"/>
      <c r="D28" s="35"/>
      <c r="E28" s="35"/>
      <c r="F28" s="35"/>
      <c r="G28" s="35"/>
      <c r="H28" s="321" t="s">
        <v>625</v>
      </c>
      <c r="I28" s="321" t="s">
        <v>626</v>
      </c>
      <c r="J28" s="321" t="s">
        <v>627</v>
      </c>
      <c r="K28" s="35"/>
      <c r="L28" s="104"/>
    </row>
    <row r="29" spans="2:12" s="46" customFormat="1" ht="19.5" customHeight="1" x14ac:dyDescent="0.3">
      <c r="B29" s="164"/>
      <c r="C29" s="38"/>
      <c r="D29" s="38"/>
      <c r="E29" s="565"/>
      <c r="F29" s="860" t="s">
        <v>257</v>
      </c>
      <c r="G29" s="861"/>
      <c r="H29" s="130">
        <f>SUM(H18:H27)</f>
        <v>0</v>
      </c>
      <c r="I29" s="566">
        <f>SUM(I18:I27)</f>
        <v>0</v>
      </c>
      <c r="J29" s="566">
        <f>SUM(J18:J27)</f>
        <v>0</v>
      </c>
      <c r="K29" s="38"/>
      <c r="L29" s="567"/>
    </row>
    <row r="30" spans="2:12" s="46" customFormat="1" ht="19.5" customHeight="1" x14ac:dyDescent="0.3">
      <c r="B30" s="164"/>
      <c r="C30" s="38"/>
      <c r="D30" s="38"/>
      <c r="E30" s="38"/>
      <c r="F30" s="38"/>
      <c r="G30" s="38"/>
      <c r="H30" s="38"/>
      <c r="I30" s="38"/>
      <c r="J30" s="38"/>
      <c r="K30" s="38"/>
      <c r="L30" s="567"/>
    </row>
    <row r="31" spans="2:12" s="46" customFormat="1" ht="57" customHeight="1" x14ac:dyDescent="0.3">
      <c r="B31" s="164"/>
      <c r="C31" s="862" t="s">
        <v>114</v>
      </c>
      <c r="D31" s="862"/>
      <c r="E31" s="862"/>
      <c r="F31" s="862"/>
      <c r="G31" s="862"/>
      <c r="H31" s="862"/>
      <c r="I31" s="862"/>
      <c r="J31" s="862"/>
      <c r="K31" s="38"/>
      <c r="L31" s="567"/>
    </row>
    <row r="32" spans="2:12" s="92" customFormat="1" ht="19.5" customHeight="1" thickBot="1" x14ac:dyDescent="0.35">
      <c r="B32" s="169"/>
      <c r="C32" s="97"/>
      <c r="D32" s="97"/>
      <c r="E32" s="97"/>
      <c r="F32" s="97"/>
      <c r="G32" s="97"/>
      <c r="H32" s="97"/>
      <c r="I32" s="97"/>
      <c r="J32" s="97"/>
      <c r="K32" s="97"/>
      <c r="L32" s="111"/>
    </row>
    <row r="33" spans="3:7" s="92" customFormat="1" ht="14.4" thickTop="1" x14ac:dyDescent="0.3"/>
    <row r="34" spans="3:7" s="92" customFormat="1" x14ac:dyDescent="0.3"/>
    <row r="35" spans="3:7" s="92" customFormat="1" ht="14.4" x14ac:dyDescent="0.3">
      <c r="C35" s="171" t="s">
        <v>677</v>
      </c>
      <c r="D35" s="172"/>
      <c r="E35" s="172"/>
      <c r="F35" s="172"/>
      <c r="G35" s="105"/>
    </row>
    <row r="36" spans="3:7" s="92" customFormat="1" ht="14.4" x14ac:dyDescent="0.3">
      <c r="C36" s="568" t="s">
        <v>258</v>
      </c>
      <c r="D36" s="568"/>
      <c r="E36" s="568"/>
      <c r="F36" s="568"/>
      <c r="G36" s="569"/>
    </row>
  </sheetData>
  <mergeCells count="4">
    <mergeCell ref="E11:G11"/>
    <mergeCell ref="H11:J11"/>
    <mergeCell ref="F29:G29"/>
    <mergeCell ref="C31:J31"/>
  </mergeCells>
  <phoneticPr fontId="26" type="noConversion"/>
  <printOptions horizontalCentered="1"/>
  <pageMargins left="0.75" right="0.75" top="1" bottom="1" header="0.5" footer="0.5"/>
  <pageSetup scale="54" orientation="landscape" r:id="rId1"/>
  <headerFooter alignWithMargins="0">
    <oddHeader>&amp;L&amp;D&amp;R&amp;F</oddHeader>
  </headerFooter>
  <rowBreaks count="1" manualBreakCount="1">
    <brk id="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pageSetUpPr fitToPage="1"/>
  </sheetPr>
  <dimension ref="B1:O35"/>
  <sheetViews>
    <sheetView zoomScale="75" zoomScaleNormal="75" workbookViewId="0"/>
  </sheetViews>
  <sheetFormatPr defaultColWidth="9.6640625" defaultRowHeight="13.8" x14ac:dyDescent="0.3"/>
  <cols>
    <col min="1" max="1" width="4" style="92" customWidth="1"/>
    <col min="2" max="2" width="3.88671875" style="92" customWidth="1"/>
    <col min="3" max="3" width="31.5546875" style="92" customWidth="1"/>
    <col min="4" max="4" width="17" style="92" customWidth="1"/>
    <col min="5" max="5" width="19.109375" style="92" customWidth="1"/>
    <col min="6" max="6" width="19.5546875" style="92" customWidth="1"/>
    <col min="7" max="7" width="21.109375" style="92" customWidth="1"/>
    <col min="8" max="8" width="25.6640625" style="92" customWidth="1"/>
    <col min="9" max="9" width="21" style="92" customWidth="1"/>
    <col min="10" max="10" width="22.5546875" style="92" customWidth="1"/>
    <col min="11" max="11" width="21.44140625" style="92" customWidth="1"/>
    <col min="12" max="12" width="24.88671875" style="92" customWidth="1"/>
    <col min="13" max="13" width="15.6640625" style="92" customWidth="1"/>
    <col min="14" max="14" width="29.6640625" style="92" customWidth="1"/>
    <col min="15" max="16384" width="9.6640625" style="92"/>
  </cols>
  <sheetData>
    <row r="1" spans="2:15" ht="21.75" customHeight="1" x14ac:dyDescent="0.45">
      <c r="C1" s="94" t="s">
        <v>297</v>
      </c>
    </row>
    <row r="2" spans="2:15" ht="18" customHeight="1" x14ac:dyDescent="0.35">
      <c r="C2" s="95"/>
    </row>
    <row r="3" spans="2:15" s="35" customFormat="1" ht="19.5" customHeight="1" x14ac:dyDescent="0.3">
      <c r="C3" s="581" t="s">
        <v>689</v>
      </c>
    </row>
    <row r="4" spans="2:15" s="35" customFormat="1" ht="19.5" customHeight="1" x14ac:dyDescent="0.3">
      <c r="C4" s="582" t="s">
        <v>690</v>
      </c>
    </row>
    <row r="5" spans="2:15" s="35" customFormat="1" ht="19.5" customHeight="1" thickBot="1" x14ac:dyDescent="0.35">
      <c r="C5" s="568"/>
    </row>
    <row r="6" spans="2:15" s="35" customFormat="1" ht="18" customHeight="1" thickTop="1" x14ac:dyDescent="0.35">
      <c r="B6" s="98" t="s">
        <v>283</v>
      </c>
      <c r="C6" s="118"/>
      <c r="D6" s="100"/>
      <c r="E6" s="118"/>
      <c r="F6" s="118"/>
      <c r="G6" s="102"/>
    </row>
    <row r="7" spans="2:15" s="35" customFormat="1" ht="18" customHeight="1" x14ac:dyDescent="0.3">
      <c r="B7" s="554"/>
      <c r="D7" s="215" t="s">
        <v>564</v>
      </c>
      <c r="E7" s="28"/>
      <c r="F7" s="103"/>
      <c r="G7" s="104"/>
    </row>
    <row r="8" spans="2:15" s="35" customFormat="1" ht="18" customHeight="1" x14ac:dyDescent="0.3">
      <c r="B8" s="119"/>
      <c r="D8" s="215" t="s">
        <v>565</v>
      </c>
      <c r="E8" s="29"/>
      <c r="F8" s="555"/>
      <c r="G8" s="104"/>
    </row>
    <row r="9" spans="2:15" s="35" customFormat="1" ht="18" customHeight="1" thickBot="1" x14ac:dyDescent="0.35">
      <c r="B9" s="169"/>
      <c r="C9" s="97"/>
      <c r="D9" s="97"/>
      <c r="E9" s="97"/>
      <c r="F9" s="97"/>
      <c r="G9" s="111"/>
    </row>
    <row r="10" spans="2:15" s="35" customFormat="1" ht="18" customHeight="1" thickTop="1" thickBot="1" x14ac:dyDescent="0.35">
      <c r="B10" s="105"/>
    </row>
    <row r="11" spans="2:15" s="35" customFormat="1" ht="38.25" customHeight="1" thickTop="1" x14ac:dyDescent="0.3">
      <c r="B11" s="316"/>
      <c r="C11" s="863" t="s">
        <v>429</v>
      </c>
      <c r="D11" s="864"/>
      <c r="E11" s="864"/>
      <c r="F11" s="864"/>
      <c r="G11" s="864"/>
      <c r="H11" s="864"/>
      <c r="I11" s="118"/>
      <c r="J11" s="118"/>
      <c r="K11" s="118"/>
      <c r="L11" s="118"/>
      <c r="M11" s="118"/>
      <c r="N11" s="118"/>
      <c r="O11" s="102"/>
    </row>
    <row r="12" spans="2:15" s="35" customFormat="1" ht="15" customHeight="1" thickBot="1" x14ac:dyDescent="0.35">
      <c r="B12" s="169"/>
      <c r="C12" s="574"/>
      <c r="D12" s="97"/>
      <c r="E12" s="97"/>
      <c r="F12" s="97"/>
      <c r="G12" s="97"/>
      <c r="H12" s="97"/>
      <c r="I12" s="97"/>
      <c r="J12" s="97"/>
      <c r="K12" s="97"/>
      <c r="L12" s="97"/>
      <c r="M12" s="97"/>
      <c r="N12" s="97"/>
      <c r="O12" s="111"/>
    </row>
    <row r="13" spans="2:15" s="35" customFormat="1" ht="18" customHeight="1" thickTop="1" x14ac:dyDescent="0.3">
      <c r="B13" s="119"/>
      <c r="O13" s="104"/>
    </row>
    <row r="14" spans="2:15" s="35" customFormat="1" ht="18" customHeight="1" x14ac:dyDescent="0.3">
      <c r="B14" s="119"/>
      <c r="C14" s="105" t="s">
        <v>430</v>
      </c>
      <c r="O14" s="104"/>
    </row>
    <row r="15" spans="2:15" s="35" customFormat="1" ht="18" customHeight="1" x14ac:dyDescent="0.3">
      <c r="B15" s="119"/>
      <c r="O15" s="104"/>
    </row>
    <row r="16" spans="2:15" ht="18" customHeight="1" x14ac:dyDescent="0.3">
      <c r="B16" s="119"/>
      <c r="C16" s="556"/>
      <c r="D16" s="130" t="s">
        <v>450</v>
      </c>
      <c r="E16" s="804" t="s">
        <v>465</v>
      </c>
      <c r="F16" s="858"/>
      <c r="G16" s="859"/>
      <c r="H16" s="130" t="s">
        <v>466</v>
      </c>
      <c r="I16" s="804" t="s">
        <v>467</v>
      </c>
      <c r="J16" s="858"/>
      <c r="K16" s="859"/>
      <c r="L16" s="130" t="s">
        <v>481</v>
      </c>
      <c r="M16" s="575"/>
      <c r="N16" s="575"/>
      <c r="O16" s="104"/>
    </row>
    <row r="17" spans="2:15" ht="20.100000000000001" customHeight="1" x14ac:dyDescent="0.3">
      <c r="B17" s="119"/>
      <c r="C17" s="556"/>
      <c r="D17" s="130" t="s">
        <v>333</v>
      </c>
      <c r="E17" s="127" t="s">
        <v>334</v>
      </c>
      <c r="F17" s="127" t="s">
        <v>340</v>
      </c>
      <c r="G17" s="127" t="s">
        <v>335</v>
      </c>
      <c r="H17" s="130" t="s">
        <v>336</v>
      </c>
      <c r="I17" s="528" t="s">
        <v>339</v>
      </c>
      <c r="J17" s="528" t="s">
        <v>348</v>
      </c>
      <c r="K17" s="528" t="s">
        <v>44</v>
      </c>
      <c r="L17" s="130" t="s">
        <v>55</v>
      </c>
      <c r="M17" s="575"/>
      <c r="N17" s="575"/>
      <c r="O17" s="104"/>
    </row>
    <row r="18" spans="2:15" ht="69.75" customHeight="1" x14ac:dyDescent="0.3">
      <c r="B18" s="119"/>
      <c r="C18" s="556"/>
      <c r="D18" s="157" t="s">
        <v>341</v>
      </c>
      <c r="E18" s="157" t="s">
        <v>678</v>
      </c>
      <c r="F18" s="157" t="s">
        <v>679</v>
      </c>
      <c r="G18" s="157" t="s">
        <v>680</v>
      </c>
      <c r="H18" s="157" t="s">
        <v>342</v>
      </c>
      <c r="I18" s="157" t="s">
        <v>681</v>
      </c>
      <c r="J18" s="157" t="s">
        <v>682</v>
      </c>
      <c r="K18" s="157" t="s">
        <v>683</v>
      </c>
      <c r="L18" s="158" t="s">
        <v>298</v>
      </c>
      <c r="M18" s="576"/>
      <c r="N18" s="158" t="s">
        <v>286</v>
      </c>
      <c r="O18" s="104"/>
    </row>
    <row r="19" spans="2:15" ht="27.75" customHeight="1" x14ac:dyDescent="0.3">
      <c r="B19" s="119"/>
      <c r="C19" s="556"/>
      <c r="D19" s="158"/>
      <c r="E19" s="158"/>
      <c r="F19" s="158"/>
      <c r="G19" s="158"/>
      <c r="H19" s="158"/>
      <c r="I19" s="158" t="s">
        <v>259</v>
      </c>
      <c r="J19" s="158" t="s">
        <v>260</v>
      </c>
      <c r="K19" s="158" t="s">
        <v>261</v>
      </c>
      <c r="L19" s="158" t="s">
        <v>567</v>
      </c>
      <c r="M19" s="576"/>
      <c r="N19" s="158"/>
      <c r="O19" s="104"/>
    </row>
    <row r="20" spans="2:15" ht="28.5" customHeight="1" x14ac:dyDescent="0.3">
      <c r="B20" s="119"/>
      <c r="C20" s="577"/>
      <c r="D20" s="572" t="s">
        <v>92</v>
      </c>
      <c r="E20" s="573" t="s">
        <v>684</v>
      </c>
      <c r="F20" s="573" t="s">
        <v>644</v>
      </c>
      <c r="G20" s="573" t="s">
        <v>685</v>
      </c>
      <c r="H20" s="573" t="s">
        <v>92</v>
      </c>
      <c r="I20" s="573" t="s">
        <v>684</v>
      </c>
      <c r="J20" s="573" t="s">
        <v>644</v>
      </c>
      <c r="K20" s="573" t="s">
        <v>685</v>
      </c>
      <c r="L20" s="158" t="s">
        <v>686</v>
      </c>
      <c r="M20" s="578"/>
      <c r="N20" s="572" t="s">
        <v>687</v>
      </c>
      <c r="O20" s="104"/>
    </row>
    <row r="21" spans="2:15" ht="19.5" customHeight="1" x14ac:dyDescent="0.3">
      <c r="B21" s="119"/>
      <c r="C21" s="579"/>
      <c r="D21" s="136"/>
      <c r="E21" s="136"/>
      <c r="F21" s="136"/>
      <c r="G21" s="136"/>
      <c r="H21" s="136"/>
      <c r="I21" s="136"/>
      <c r="J21" s="136"/>
      <c r="K21" s="136"/>
      <c r="L21" s="136"/>
      <c r="M21" s="421"/>
      <c r="N21" s="136"/>
      <c r="O21" s="104"/>
    </row>
    <row r="22" spans="2:15" s="541" customFormat="1" ht="20.100000000000001" customHeight="1" x14ac:dyDescent="0.3">
      <c r="B22" s="124"/>
      <c r="C22" s="583" t="s">
        <v>468</v>
      </c>
      <c r="D22" s="141"/>
      <c r="E22" s="141"/>
      <c r="F22" s="141"/>
      <c r="G22" s="141"/>
      <c r="H22" s="141"/>
      <c r="I22" s="136"/>
      <c r="J22" s="136"/>
      <c r="K22" s="136"/>
      <c r="L22" s="136"/>
      <c r="M22" s="421"/>
      <c r="N22" s="136"/>
      <c r="O22" s="540"/>
    </row>
    <row r="23" spans="2:15" ht="19.5" customHeight="1" x14ac:dyDescent="0.3">
      <c r="B23" s="119"/>
      <c r="C23" s="584"/>
      <c r="D23" s="496"/>
      <c r="E23" s="496"/>
      <c r="F23" s="585"/>
      <c r="G23" s="585"/>
      <c r="H23" s="496"/>
      <c r="I23" s="173" t="str">
        <f t="shared" ref="I23:I31" si="0">IF($D23=0,"",E23*$H23/$D23)</f>
        <v/>
      </c>
      <c r="J23" s="174" t="str">
        <f t="shared" ref="J23:J31" si="1">IF($D23=0,"",F23*$H23/$D23)</f>
        <v/>
      </c>
      <c r="K23" s="174" t="str">
        <f t="shared" ref="K23:K31" si="2">IF($D23=0,"",G23*$H23/$D23)</f>
        <v/>
      </c>
      <c r="L23" s="173" t="str">
        <f t="shared" ref="L23:L31" si="3">+IF(H23=0,"",(I23+J23*GWP_CH4+K23*GWP_N2O)/H23)</f>
        <v/>
      </c>
      <c r="M23" s="576"/>
      <c r="N23" s="496"/>
      <c r="O23" s="104"/>
    </row>
    <row r="24" spans="2:15" ht="19.5" customHeight="1" x14ac:dyDescent="0.3">
      <c r="B24" s="119"/>
      <c r="C24" s="584"/>
      <c r="D24" s="496"/>
      <c r="E24" s="496"/>
      <c r="F24" s="585"/>
      <c r="G24" s="585"/>
      <c r="H24" s="496"/>
      <c r="I24" s="173" t="str">
        <f t="shared" si="0"/>
        <v/>
      </c>
      <c r="J24" s="174" t="str">
        <f t="shared" si="1"/>
        <v/>
      </c>
      <c r="K24" s="174" t="str">
        <f t="shared" si="2"/>
        <v/>
      </c>
      <c r="L24" s="173" t="str">
        <f t="shared" si="3"/>
        <v/>
      </c>
      <c r="M24" s="576"/>
      <c r="N24" s="496"/>
      <c r="O24" s="104"/>
    </row>
    <row r="25" spans="2:15" ht="19.5" customHeight="1" x14ac:dyDescent="0.3">
      <c r="B25" s="119"/>
      <c r="C25" s="584"/>
      <c r="D25" s="496"/>
      <c r="E25" s="496"/>
      <c r="F25" s="585"/>
      <c r="G25" s="585"/>
      <c r="H25" s="496"/>
      <c r="I25" s="173" t="str">
        <f t="shared" si="0"/>
        <v/>
      </c>
      <c r="J25" s="174" t="str">
        <f t="shared" si="1"/>
        <v/>
      </c>
      <c r="K25" s="174" t="str">
        <f t="shared" si="2"/>
        <v/>
      </c>
      <c r="L25" s="173" t="str">
        <f t="shared" si="3"/>
        <v/>
      </c>
      <c r="M25" s="576"/>
      <c r="N25" s="496"/>
      <c r="O25" s="104"/>
    </row>
    <row r="26" spans="2:15" ht="19.5" customHeight="1" x14ac:dyDescent="0.3">
      <c r="B26" s="119"/>
      <c r="C26" s="584"/>
      <c r="D26" s="496"/>
      <c r="E26" s="496"/>
      <c r="F26" s="585"/>
      <c r="G26" s="585"/>
      <c r="H26" s="496"/>
      <c r="I26" s="173" t="str">
        <f t="shared" si="0"/>
        <v/>
      </c>
      <c r="J26" s="174" t="str">
        <f t="shared" si="1"/>
        <v/>
      </c>
      <c r="K26" s="174" t="str">
        <f t="shared" si="2"/>
        <v/>
      </c>
      <c r="L26" s="173" t="str">
        <f t="shared" si="3"/>
        <v/>
      </c>
      <c r="M26" s="576"/>
      <c r="N26" s="496"/>
      <c r="O26" s="104"/>
    </row>
    <row r="27" spans="2:15" ht="20.100000000000001" customHeight="1" x14ac:dyDescent="0.3">
      <c r="B27" s="119"/>
      <c r="C27" s="584"/>
      <c r="D27" s="496"/>
      <c r="E27" s="496"/>
      <c r="F27" s="585"/>
      <c r="G27" s="585"/>
      <c r="H27" s="496"/>
      <c r="I27" s="173" t="str">
        <f t="shared" si="0"/>
        <v/>
      </c>
      <c r="J27" s="174" t="str">
        <f t="shared" si="1"/>
        <v/>
      </c>
      <c r="K27" s="174" t="str">
        <f t="shared" si="2"/>
        <v/>
      </c>
      <c r="L27" s="173" t="str">
        <f t="shared" si="3"/>
        <v/>
      </c>
      <c r="M27" s="576"/>
      <c r="N27" s="496"/>
      <c r="O27" s="104"/>
    </row>
    <row r="28" spans="2:15" ht="20.100000000000001" customHeight="1" x14ac:dyDescent="0.3">
      <c r="B28" s="119"/>
      <c r="C28" s="584"/>
      <c r="D28" s="496"/>
      <c r="E28" s="496"/>
      <c r="F28" s="585"/>
      <c r="G28" s="585"/>
      <c r="H28" s="496"/>
      <c r="I28" s="173" t="str">
        <f t="shared" si="0"/>
        <v/>
      </c>
      <c r="J28" s="174" t="str">
        <f t="shared" si="1"/>
        <v/>
      </c>
      <c r="K28" s="174" t="str">
        <f t="shared" si="2"/>
        <v/>
      </c>
      <c r="L28" s="173" t="str">
        <f t="shared" si="3"/>
        <v/>
      </c>
      <c r="M28" s="576"/>
      <c r="N28" s="496"/>
      <c r="O28" s="104"/>
    </row>
    <row r="29" spans="2:15" ht="20.100000000000001" customHeight="1" x14ac:dyDescent="0.3">
      <c r="B29" s="119"/>
      <c r="C29" s="584"/>
      <c r="D29" s="496"/>
      <c r="E29" s="496"/>
      <c r="F29" s="585"/>
      <c r="G29" s="585"/>
      <c r="H29" s="496"/>
      <c r="I29" s="173" t="str">
        <f t="shared" si="0"/>
        <v/>
      </c>
      <c r="J29" s="174" t="str">
        <f t="shared" si="1"/>
        <v/>
      </c>
      <c r="K29" s="174" t="str">
        <f t="shared" si="2"/>
        <v/>
      </c>
      <c r="L29" s="173" t="str">
        <f t="shared" si="3"/>
        <v/>
      </c>
      <c r="M29" s="576"/>
      <c r="N29" s="496"/>
      <c r="O29" s="104"/>
    </row>
    <row r="30" spans="2:15" ht="19.5" customHeight="1" x14ac:dyDescent="0.3">
      <c r="B30" s="119"/>
      <c r="C30" s="584"/>
      <c r="D30" s="496"/>
      <c r="E30" s="496"/>
      <c r="F30" s="585"/>
      <c r="G30" s="585"/>
      <c r="H30" s="496"/>
      <c r="I30" s="173" t="str">
        <f t="shared" si="0"/>
        <v/>
      </c>
      <c r="J30" s="174" t="str">
        <f t="shared" si="1"/>
        <v/>
      </c>
      <c r="K30" s="174" t="str">
        <f t="shared" si="2"/>
        <v/>
      </c>
      <c r="L30" s="173" t="str">
        <f t="shared" si="3"/>
        <v/>
      </c>
      <c r="M30" s="576"/>
      <c r="N30" s="496"/>
      <c r="O30" s="104"/>
    </row>
    <row r="31" spans="2:15" ht="19.5" customHeight="1" x14ac:dyDescent="0.3">
      <c r="B31" s="119"/>
      <c r="C31" s="584"/>
      <c r="D31" s="496"/>
      <c r="E31" s="496"/>
      <c r="F31" s="585"/>
      <c r="G31" s="585"/>
      <c r="H31" s="496"/>
      <c r="I31" s="173" t="str">
        <f t="shared" si="0"/>
        <v/>
      </c>
      <c r="J31" s="174" t="str">
        <f t="shared" si="1"/>
        <v/>
      </c>
      <c r="K31" s="174" t="str">
        <f t="shared" si="2"/>
        <v/>
      </c>
      <c r="L31" s="173" t="str">
        <f t="shared" si="3"/>
        <v/>
      </c>
      <c r="M31" s="576"/>
      <c r="N31" s="496"/>
      <c r="O31" s="104"/>
    </row>
    <row r="32" spans="2:15" ht="18" customHeight="1" x14ac:dyDescent="0.35">
      <c r="B32" s="119"/>
      <c r="C32" s="386"/>
      <c r="D32" s="421"/>
      <c r="E32" s="421"/>
      <c r="F32" s="421"/>
      <c r="G32" s="421"/>
      <c r="H32" s="421"/>
      <c r="I32" s="321" t="s">
        <v>625</v>
      </c>
      <c r="J32" s="321" t="s">
        <v>626</v>
      </c>
      <c r="K32" s="321" t="s">
        <v>627</v>
      </c>
      <c r="L32" s="421"/>
      <c r="M32" s="421"/>
      <c r="N32" s="421"/>
      <c r="O32" s="104"/>
    </row>
    <row r="33" spans="2:15" ht="18" customHeight="1" x14ac:dyDescent="0.3">
      <c r="B33" s="119"/>
      <c r="C33" s="35"/>
      <c r="D33" s="580"/>
      <c r="E33" s="865" t="s">
        <v>688</v>
      </c>
      <c r="F33" s="797"/>
      <c r="G33" s="797"/>
      <c r="H33" s="797"/>
      <c r="I33" s="130">
        <f>SUM(I23:I31)</f>
        <v>0</v>
      </c>
      <c r="J33" s="130">
        <f>SUM(J23:J31)</f>
        <v>0</v>
      </c>
      <c r="K33" s="130">
        <f>SUM(K23:K31)</f>
        <v>0</v>
      </c>
      <c r="L33" s="578"/>
      <c r="M33" s="578"/>
      <c r="N33" s="578"/>
      <c r="O33" s="104"/>
    </row>
    <row r="34" spans="2:15" ht="14.4" thickBot="1" x14ac:dyDescent="0.35">
      <c r="B34" s="169"/>
      <c r="C34" s="97"/>
      <c r="D34" s="97"/>
      <c r="E34" s="97"/>
      <c r="F34" s="97"/>
      <c r="G34" s="97"/>
      <c r="H34" s="97"/>
      <c r="I34" s="97"/>
      <c r="J34" s="97"/>
      <c r="K34" s="97"/>
      <c r="L34" s="97"/>
      <c r="M34" s="97"/>
      <c r="N34" s="97"/>
      <c r="O34" s="111"/>
    </row>
    <row r="35" spans="2:15" ht="14.4" thickTop="1" x14ac:dyDescent="0.3"/>
  </sheetData>
  <mergeCells count="4">
    <mergeCell ref="C11:H11"/>
    <mergeCell ref="E16:G16"/>
    <mergeCell ref="I16:K16"/>
    <mergeCell ref="E33:H33"/>
  </mergeCells>
  <phoneticPr fontId="26" type="noConversion"/>
  <printOptions horizontalCentered="1"/>
  <pageMargins left="0.75" right="0.75" top="1" bottom="1" header="0.5" footer="0.5"/>
  <pageSetup scale="54" orientation="landscape" r:id="rId1"/>
  <headerFooter alignWithMargins="0">
    <oddHeader>&amp;L&amp;D&amp;R&amp;F</oddHeader>
  </headerFooter>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Introduction</vt:lpstr>
      <vt:lpstr>Table of Contents</vt:lpstr>
      <vt:lpstr>Operations in Inventory</vt:lpstr>
      <vt:lpstr>Direct - Fuel Combust.</vt:lpstr>
      <vt:lpstr>Mobile &amp; Transportation</vt:lpstr>
      <vt:lpstr>Waste Mngmt.</vt:lpstr>
      <vt:lpstr>CHP Allocation</vt:lpstr>
      <vt:lpstr>Indirect - Energy Imports</vt:lpstr>
      <vt:lpstr>Indirect - Energy Exports</vt:lpstr>
      <vt:lpstr>Summary Table</vt:lpstr>
      <vt:lpstr>Custom Emission Factors</vt:lpstr>
      <vt:lpstr>Energy content</vt:lpstr>
      <vt:lpstr>Conversion Factors</vt:lpstr>
      <vt:lpstr>Biomass Combustion CO2</vt:lpstr>
      <vt:lpstr>GWPs</vt:lpstr>
      <vt:lpstr>Revisions</vt:lpstr>
      <vt:lpstr>GWP_CH4</vt:lpstr>
      <vt:lpstr>GWP_CH4_AR5</vt:lpstr>
      <vt:lpstr>GWP_CH4_AR6</vt:lpstr>
      <vt:lpstr>GWP_CH4_Fossil_AR6</vt:lpstr>
      <vt:lpstr>GWP_N2O</vt:lpstr>
      <vt:lpstr>GWP_N2O_AR5</vt:lpstr>
      <vt:lpstr>GWP_N2O_AR6</vt:lpstr>
      <vt:lpstr>'Biomass Combustion CO2'!Print_Area</vt:lpstr>
      <vt:lpstr>'CHP Allocation'!Print_Area</vt:lpstr>
      <vt:lpstr>'Direct - Fuel Combust.'!Print_Area</vt:lpstr>
      <vt:lpstr>'Energy content'!Print_Area</vt:lpstr>
      <vt:lpstr>'Indirect - Energy Exports'!Print_Area</vt:lpstr>
      <vt:lpstr>'Indirect - Energy Imports'!Print_Area</vt:lpstr>
      <vt:lpstr>Introduction!Print_Area</vt:lpstr>
      <vt:lpstr>'Mobile &amp; Transportation'!Print_Area</vt:lpstr>
      <vt:lpstr>'Operations in Inventory'!Print_Area</vt:lpstr>
      <vt:lpstr>'Summary Table'!Print_Area</vt:lpstr>
      <vt:lpstr>'Waste Mngmt.'!Print_Area</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Administrator</dc:creator>
  <cp:lastModifiedBy>Barry Malmberg</cp:lastModifiedBy>
  <cp:lastPrinted>2022-02-09T18:56:58Z</cp:lastPrinted>
  <dcterms:created xsi:type="dcterms:W3CDTF">2000-06-30T18:41:26Z</dcterms:created>
  <dcterms:modified xsi:type="dcterms:W3CDTF">2022-03-01T19:31:22Z</dcterms:modified>
</cp:coreProperties>
</file>