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36" tabRatio="882" activeTab="0"/>
  </bookViews>
  <sheets>
    <sheet name="Introduction" sheetId="1" r:id="rId1"/>
    <sheet name="Table of Contents" sheetId="2" r:id="rId2"/>
    <sheet name="Operations in Inventory" sheetId="3" r:id="rId3"/>
    <sheet name="Carbon Contents and HHVs" sheetId="4" r:id="rId4"/>
    <sheet name="Emission Factors" sheetId="5" r:id="rId5"/>
    <sheet name="Stationary Combustion" sheetId="6" r:id="rId6"/>
    <sheet name="Electricity Generation Units" sheetId="7" r:id="rId7"/>
    <sheet name="Onsite Transportation" sheetId="8" r:id="rId8"/>
    <sheet name="Biomass Combustion CO2" sheetId="9" r:id="rId9"/>
    <sheet name="Make-up Chemicals" sheetId="10" r:id="rId10"/>
    <sheet name="Waste" sheetId="11" r:id="rId11"/>
    <sheet name="Wastewater" sheetId="12" r:id="rId12"/>
    <sheet name="CO2 Imports and Exports" sheetId="13" r:id="rId13"/>
    <sheet name="Summary Table" sheetId="14" r:id="rId14"/>
    <sheet name="CHP Allocation" sheetId="15" r:id="rId15"/>
    <sheet name="EFs_GHGRP" sheetId="16" r:id="rId16"/>
    <sheet name="Conversion Factors" sheetId="17" r:id="rId17"/>
    <sheet name="Revision Log" sheetId="18" r:id="rId18"/>
  </sheets>
  <externalReferences>
    <externalReference r:id="rId21"/>
  </externalReferences>
  <definedNames>
    <definedName name="_xlfn._FV" hidden="1">#NAME?</definedName>
    <definedName name="_xlfn.IFERROR" hidden="1">#NAME?</definedName>
    <definedName name="CO2perGJ_jet">#REF!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get_dieselgperkm">'[1]Reference'!$E$196:$J$259</definedName>
    <definedName name="get_gasgperkm">'[1]Reference'!$E$196:$I$259</definedName>
    <definedName name="Gjperton_jet">#REF!</definedName>
    <definedName name="Go_D2_Air" localSheetId="4">'[1]Macros'!#REF!</definedName>
    <definedName name="Go_D2_Air" localSheetId="11">'[1]Macros'!#REF!</definedName>
    <definedName name="Go_D2_Air">'[1]Macros'!#REF!</definedName>
    <definedName name="Go_D2_Road" localSheetId="4">'[1]Macros'!#REF!</definedName>
    <definedName name="Go_D2_Road" localSheetId="11">'[1]Macros'!#REF!</definedName>
    <definedName name="Go_D2_Road">'[1]Macros'!#REF!</definedName>
    <definedName name="Go_In1_air" localSheetId="4">'[1]Macros'!#REF!</definedName>
    <definedName name="Go_In1_air" localSheetId="11">'[1]Macros'!#REF!</definedName>
    <definedName name="Go_In1_air">'[1]Macros'!#REF!</definedName>
    <definedName name="Go_In1_boat" localSheetId="4">'[1]Macros'!#REF!</definedName>
    <definedName name="Go_In1_boat" localSheetId="11">'[1]Macros'!#REF!</definedName>
    <definedName name="Go_In1_boat">'[1]Macros'!#REF!</definedName>
    <definedName name="Go_In1_Fuel" localSheetId="4">'[1]Macros'!#REF!</definedName>
    <definedName name="Go_In1_Fuel" localSheetId="11">'[1]Macros'!#REF!</definedName>
    <definedName name="Go_In1_Fuel">'[1]Macros'!#REF!</definedName>
    <definedName name="Go_In1_rail" localSheetId="4">'[1]Macros'!#REF!</definedName>
    <definedName name="Go_In1_rail" localSheetId="11">'[1]Macros'!#REF!</definedName>
    <definedName name="Go_In1_rail">'[1]Macros'!#REF!</definedName>
    <definedName name="Go_Somewhere" localSheetId="4">'[1]Macros'!#REF!</definedName>
    <definedName name="Go_Somewhere" localSheetId="11">'[1]Macros'!#REF!</definedName>
    <definedName name="Go_Somewhere">'[1]Macros'!#REF!</definedName>
    <definedName name="GWPCH4">'Introduction'!$F$28</definedName>
    <definedName name="GWPN2O">'Introduction'!$F$29</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ine_type">#REF!</definedName>
    <definedName name="_xlnm.Print_Area" localSheetId="8">'Biomass Combustion CO2'!$B$9:$I$39</definedName>
    <definedName name="_xlnm.Print_Area" localSheetId="3">'Carbon Contents and HHVs'!$B$6:$H$42</definedName>
    <definedName name="_xlnm.Print_Area" localSheetId="14">'CHP Allocation'!$B$11:$R$26</definedName>
    <definedName name="_xlnm.Print_Area" localSheetId="6">'Electricity Generation Units'!$B$13:$I$29</definedName>
    <definedName name="_xlnm.Print_Area" localSheetId="4">'Emission Factors'!$B$5:$I$43</definedName>
    <definedName name="_xlnm.Print_Area" localSheetId="0">'Introduction'!$B$3:$J$37</definedName>
    <definedName name="_xlnm.Print_Area" localSheetId="9">'Make-up Chemicals'!$B$9:$G$25</definedName>
    <definedName name="_xlnm.Print_Area" localSheetId="7">'Onsite Transportation'!$B$13:$P$34</definedName>
    <definedName name="_xlnm.Print_Area" localSheetId="2">'Operations in Inventory'!$B$6:$E$56</definedName>
    <definedName name="_xlnm.Print_Area" localSheetId="5">'Stationary Combustion'!$B$14:$P$46</definedName>
    <definedName name="_xlnm.Print_Area" localSheetId="13">'Summary Table'!$B$3:$J$36</definedName>
    <definedName name="_xlnm.Print_Area" localSheetId="1">'Table of Contents'!$B$3:$E$22</definedName>
    <definedName name="_xlnm.Print_Area" localSheetId="10">'Waste'!$B$9:$BF$108</definedName>
    <definedName name="_xlnm.Print_Area" localSheetId="11">'Wastewater'!$B$12:$L$54</definedName>
    <definedName name="Z_E748B311_90F6_4A4B_A4FB_821E74008EC3_.wvu.Cols" localSheetId="9" hidden="1">'Make-up Chemicals'!$I:$L</definedName>
    <definedName name="Z_E748B311_90F6_4A4B_A4FB_821E74008EC3_.wvu.Cols" localSheetId="2" hidden="1">'Operations in Inventory'!#REF!</definedName>
    <definedName name="Z_E748B311_90F6_4A4B_A4FB_821E74008EC3_.wvu.PrintArea" localSheetId="8" hidden="1">'Biomass Combustion CO2'!$B$1:$F$2,'Biomass Combustion CO2'!$B$9:$I$26,'Biomass Combustion CO2'!$B$28:$H$39</definedName>
    <definedName name="Z_E748B311_90F6_4A4B_A4FB_821E74008EC3_.wvu.PrintArea" localSheetId="14" hidden="1">'CHP Allocation'!$B$11:$R$26</definedName>
    <definedName name="Z_E748B311_90F6_4A4B_A4FB_821E74008EC3_.wvu.PrintArea" localSheetId="6" hidden="1">'Electricity Generation Units'!$B$13:$I$29</definedName>
    <definedName name="Z_E748B311_90F6_4A4B_A4FB_821E74008EC3_.wvu.PrintArea" localSheetId="4" hidden="1">'Emission Factors'!#REF!</definedName>
    <definedName name="Z_E748B311_90F6_4A4B_A4FB_821E74008EC3_.wvu.PrintArea" localSheetId="0" hidden="1">'Introduction'!$B$3:$J$37</definedName>
    <definedName name="Z_E748B311_90F6_4A4B_A4FB_821E74008EC3_.wvu.PrintArea" localSheetId="9" hidden="1">'Make-up Chemicals'!$B$9:$G$16</definedName>
    <definedName name="Z_E748B311_90F6_4A4B_A4FB_821E74008EC3_.wvu.PrintArea" localSheetId="7" hidden="1">'Onsite Transportation'!$B$14:$O$31,'Onsite Transportation'!#REF!,'Onsite Transportation'!#REF!</definedName>
    <definedName name="Z_E748B311_90F6_4A4B_A4FB_821E74008EC3_.wvu.PrintArea" localSheetId="2" hidden="1">'Operations in Inventory'!$B$6:$E$56</definedName>
    <definedName name="Z_E748B311_90F6_4A4B_A4FB_821E74008EC3_.wvu.PrintArea" localSheetId="5" hidden="1">'Stationary Combustion'!$B$14:$P$46</definedName>
    <definedName name="Z_E748B311_90F6_4A4B_A4FB_821E74008EC3_.wvu.PrintArea" localSheetId="13" hidden="1">'Summary Table'!$B$3:$J$30</definedName>
    <definedName name="Z_E748B311_90F6_4A4B_A4FB_821E74008EC3_.wvu.PrintArea" localSheetId="1" hidden="1">'Table of Contents'!$B$3:$E$22</definedName>
    <definedName name="Z_E748B311_90F6_4A4B_A4FB_821E74008EC3_.wvu.PrintArea" localSheetId="10" hidden="1">'Waste'!$B$9:$Q$50,'Waste'!$C$56:$F$110,'Waste'!#REF!</definedName>
    <definedName name="Z_E748B311_90F6_4A4B_A4FB_821E74008EC3_.wvu.PrintArea" localSheetId="11" hidden="1">'Wastewater'!#REF!,'Wastewater'!#REF!,'Wastewater'!$B$12:$K$23</definedName>
    <definedName name="Z_E748B311_90F6_4A4B_A4FB_821E74008EC3_.wvu.Rows" localSheetId="7" hidden="1">'Onsite Transportation'!#REF!</definedName>
  </definedNames>
  <calcPr fullCalcOnLoad="1"/>
</workbook>
</file>

<file path=xl/sharedStrings.xml><?xml version="1.0" encoding="utf-8"?>
<sst xmlns="http://schemas.openxmlformats.org/spreadsheetml/2006/main" count="951" uniqueCount="575">
  <si>
    <t>metric tonnes GHG</t>
  </si>
  <si>
    <t>kg GHG / energy unit in D</t>
  </si>
  <si>
    <t>H1 = A1 * G</t>
  </si>
  <si>
    <t>H2 = (1-A1) * G</t>
  </si>
  <si>
    <t>L1 = A1 * K</t>
  </si>
  <si>
    <t>L2 = (1-A1) * K</t>
  </si>
  <si>
    <t xml:space="preserve">Methane emissions in metric tonnes </t>
  </si>
  <si>
    <t>An aid to developing estimates using the methods in "Calculation tools for estimating greenhouse gas emissions from pulp and paper mills," Report Version 1.2</t>
  </si>
  <si>
    <t>Revision Log</t>
  </si>
  <si>
    <t>Place an "X" below where appropriate to indentify operations included in the inventory</t>
  </si>
  <si>
    <t>Biomass Combustion CO2</t>
  </si>
  <si>
    <t>N/A</t>
  </si>
  <si>
    <t>Additional Information on Biomass</t>
  </si>
  <si>
    <t>Direct</t>
  </si>
  <si>
    <t>Indirect</t>
  </si>
  <si>
    <t>1 metric tonne</t>
  </si>
  <si>
    <t>0.0004536 metric tonnes</t>
  </si>
  <si>
    <t>1 metric tonne carbon</t>
  </si>
  <si>
    <t>0.06895 bar</t>
  </si>
  <si>
    <t>0.9807 bar</t>
  </si>
  <si>
    <t>1.01325 bar</t>
  </si>
  <si>
    <t xml:space="preserve">1 </t>
  </si>
  <si>
    <t xml:space="preserve">2 </t>
  </si>
  <si>
    <t xml:space="preserve">3 </t>
  </si>
  <si>
    <t>EXPLANATION OF CELL COLOR SCHEME</t>
  </si>
  <si>
    <t>Imports and Exports of Greenhouse Gases</t>
  </si>
  <si>
    <t xml:space="preserve">Use this space to provide additional information helpful to understanding how emissions from partial ownership situations are allocated. </t>
  </si>
  <si>
    <t>These spreadsheets include significant amounts of material copied from other WRI and WBCSD calculation tools. 
 Intellectual property rights of the WRI and WBCSD calculation tools belong to WRI and WBCSD, unless stated otherwise.</t>
  </si>
  <si>
    <t xml:space="preserve">Step 3: Sum mill landfill methane emissions from Method 2: </t>
  </si>
  <si>
    <t xml:space="preserve">Step 2: Sum mill landfill methane emissions from Method 1: </t>
  </si>
  <si>
    <t xml:space="preserve">Method 3 - For landfills that cannot use Methods 1 or 2.  </t>
  </si>
  <si>
    <t>Year Emissions Estimated</t>
  </si>
  <si>
    <t>Sum of emissions from landfills &gt;&gt;</t>
  </si>
  <si>
    <t>Identifying name assigned to this inventory:</t>
  </si>
  <si>
    <t>Chemical</t>
  </si>
  <si>
    <t>Amount used in the pulp mill
[metric tons/year]</t>
  </si>
  <si>
    <t>Sodium Carbonate</t>
  </si>
  <si>
    <t>Auto calculated value:</t>
  </si>
  <si>
    <t>A</t>
  </si>
  <si>
    <t>B</t>
  </si>
  <si>
    <t>D</t>
  </si>
  <si>
    <t>E</t>
  </si>
  <si>
    <t>F</t>
  </si>
  <si>
    <t>C</t>
  </si>
  <si>
    <t>Energy</t>
  </si>
  <si>
    <t>Conversion Factors</t>
  </si>
  <si>
    <t>Carbon Content</t>
  </si>
  <si>
    <t>G</t>
  </si>
  <si>
    <t>Fraction of total emissions claimed as direct for this entry (between 0 and 1)</t>
  </si>
  <si>
    <t>Amount consumed in the flue gas desulfurization system
[metric tons/year]</t>
  </si>
  <si>
    <t>Calcium Carbonate</t>
  </si>
  <si>
    <t>Dolomite</t>
  </si>
  <si>
    <t>A1</t>
  </si>
  <si>
    <t>A2</t>
  </si>
  <si>
    <t>H1</t>
  </si>
  <si>
    <t>H2</t>
  </si>
  <si>
    <t>Butane</t>
  </si>
  <si>
    <t>1 kilogram (kg)</t>
  </si>
  <si>
    <t>Mass</t>
  </si>
  <si>
    <t>1 pound (lb)</t>
  </si>
  <si>
    <t>453.6 grams (g)</t>
  </si>
  <si>
    <t>2.205 pounds (lb)</t>
  </si>
  <si>
    <t>1 short ton (ton)</t>
  </si>
  <si>
    <t>907.2 kilograms (kg)</t>
  </si>
  <si>
    <t>Volume</t>
  </si>
  <si>
    <t>7.4805 gallons (gal)</t>
  </si>
  <si>
    <t>0.1781 barrel (bbl)</t>
  </si>
  <si>
    <t>28.32 liters (L)</t>
  </si>
  <si>
    <t>1 gallon (gal)</t>
  </si>
  <si>
    <t>3.785 liters (L)</t>
  </si>
  <si>
    <t>0.0238 barrel (bbl)</t>
  </si>
  <si>
    <t>1 barrel (bbl)</t>
  </si>
  <si>
    <t>42 gallons (gal)</t>
  </si>
  <si>
    <t>Efficiency of heat production divided by efficiency of power production (default ratio of 0.8/.35=2.29)</t>
  </si>
  <si>
    <t>1.1023 short tons (tons)</t>
  </si>
  <si>
    <t>158.99 liters (L)</t>
  </si>
  <si>
    <t>1 litre (L)</t>
  </si>
  <si>
    <t>0.2642 gallons (gal)</t>
  </si>
  <si>
    <t>6.2897 barrels (bbl)</t>
  </si>
  <si>
    <t>264.2 gallons (gal)</t>
  </si>
  <si>
    <t>1 kilowatt hour (kWh)</t>
  </si>
  <si>
    <t>3412 Btu (btu)</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</si>
  <si>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</si>
  <si>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</si>
  <si>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</si>
  <si>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</si>
  <si>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</si>
  <si>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</si>
  <si>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</si>
  <si>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</si>
  <si>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</si>
  <si>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</si>
  <si>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</si>
  <si>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1 therm (therm)</t>
  </si>
  <si>
    <t>0.1055 gigajoules (GJ)</t>
  </si>
  <si>
    <t>29.3 kilowatt hours (kWh)</t>
  </si>
  <si>
    <t>1 mile (statue)</t>
  </si>
  <si>
    <t>1.609 kilometers</t>
  </si>
  <si>
    <t>1 atmosphere (atm)</t>
  </si>
  <si>
    <t>14.696 pounds per square inch (psia)</t>
  </si>
  <si>
    <t>101.325 kilo pascals</t>
  </si>
  <si>
    <t>1 psi</t>
  </si>
  <si>
    <t>kilo</t>
  </si>
  <si>
    <t>mega</t>
  </si>
  <si>
    <t>giga</t>
  </si>
  <si>
    <t>tera</t>
  </si>
  <si>
    <t>Step 2</t>
  </si>
  <si>
    <t>Step 3</t>
  </si>
  <si>
    <t>Step 4</t>
  </si>
  <si>
    <t>2,000 pounds (lb)</t>
  </si>
  <si>
    <t>2,205 pounds (lb)</t>
  </si>
  <si>
    <t>1,000 kilograms (kg)</t>
  </si>
  <si>
    <t>1,000 liters (L)</t>
  </si>
  <si>
    <t>3,600 kilojoules (KJ)</t>
  </si>
  <si>
    <t>1,055 joules (J)</t>
  </si>
  <si>
    <t xml:space="preserve">100,000 btu </t>
  </si>
  <si>
    <t>1,000</t>
  </si>
  <si>
    <t>1,000,000</t>
  </si>
  <si>
    <t>1,000,000,000</t>
  </si>
  <si>
    <t>1,000,000,000,000</t>
  </si>
  <si>
    <t>Step 5</t>
  </si>
  <si>
    <t>Step 6</t>
  </si>
  <si>
    <t>Step 7</t>
  </si>
  <si>
    <t>Name of worksheet</t>
  </si>
  <si>
    <t>Content / purpose</t>
  </si>
  <si>
    <t>0.4536 kilograms (kg)</t>
  </si>
  <si>
    <t>P  Power output</t>
  </si>
  <si>
    <t>H  Heat output (district heat, process heat, other steam)</t>
  </si>
  <si>
    <t>(GJ, BTU or kWh)</t>
  </si>
  <si>
    <t>(same unit as in column A)</t>
  </si>
  <si>
    <t>Calcium Carbonate*</t>
  </si>
  <si>
    <t>Last year that material was deposited in landfill (or that data is available):</t>
  </si>
  <si>
    <t>First year that material was deposited in landfill (or that data is available):</t>
  </si>
  <si>
    <t>First order methane generation rate constant, k
[default for mill waste
k = 0.03/yr]</t>
  </si>
  <si>
    <t>Year of interest for emission estimate:</t>
  </si>
  <si>
    <t>Year of Placement
(auto-calculated from information entered above in cells G53 and G54)</t>
  </si>
  <si>
    <t>Harvesting</t>
  </si>
  <si>
    <t>Wood/chip/bark/wastepaper/other raw material transportation vehicles</t>
  </si>
  <si>
    <t>Product, by-product or waste transportation vehicles</t>
  </si>
  <si>
    <t>Debarking</t>
  </si>
  <si>
    <t>Chipping</t>
  </si>
  <si>
    <t>Mechanical pulping</t>
  </si>
  <si>
    <t>Chemical pulping – kraft</t>
  </si>
  <si>
    <t>Chemical pulping – sulfite</t>
  </si>
  <si>
    <t>Chemical pulping – other</t>
  </si>
  <si>
    <t xml:space="preserve">Semichemical pulping </t>
  </si>
  <si>
    <t>Recovery furnace – kraft</t>
  </si>
  <si>
    <t>Liquor furnace – sulfite</t>
  </si>
  <si>
    <t>Liquor furnace – semichem</t>
  </si>
  <si>
    <t>Lime kiln or calciner</t>
  </si>
  <si>
    <t>Incinerators for noncondensible gases, etc.</t>
  </si>
  <si>
    <t>Wastepaper pulping and cleaning</t>
  </si>
  <si>
    <t>Deinking</t>
  </si>
  <si>
    <t>Bleaching of chemical or semichemical pulp</t>
  </si>
  <si>
    <t>Brightening of deinked pulp</t>
  </si>
  <si>
    <t>On-site preparation of chemicals used in core operations (e.g. ClO2 or O3)</t>
  </si>
  <si>
    <t>Paper and/or paperboard production</t>
  </si>
  <si>
    <t>Coating (including extrusion coating)</t>
  </si>
  <si>
    <t>Roll trimming, roll wrapping, sheet cutting</t>
  </si>
  <si>
    <t>On-site power and steam boilers</t>
  </si>
  <si>
    <t>On-site combustion turbines</t>
  </si>
  <si>
    <t>Gas-fired infrared dryers</t>
  </si>
  <si>
    <t>Other fossil fuel-fired dryers</t>
  </si>
  <si>
    <t>Wastewater treatment operations</t>
  </si>
  <si>
    <t>Sludge processing</t>
  </si>
  <si>
    <t>Landfill receiving mill waste</t>
  </si>
  <si>
    <t>Air emissions control devices</t>
  </si>
  <si>
    <t>On-site vehicles and machinery</t>
  </si>
  <si>
    <t>Other Operation – describe:</t>
  </si>
  <si>
    <t>Core Operations that might be included in the inventory are listed below</t>
  </si>
  <si>
    <t>Step 11</t>
  </si>
  <si>
    <t>Step 12</t>
  </si>
  <si>
    <t>T Total Fuel input</t>
  </si>
  <si>
    <t>Energy Unit used
in A, B, and C</t>
  </si>
  <si>
    <t>Assigned ratio of efficiencies</t>
  </si>
  <si>
    <t>Minimum ratio allowed by energy balance</t>
  </si>
  <si>
    <t>Maximum ratio allowed by energy balance</t>
  </si>
  <si>
    <t>G = ( A + B * F ) / ( C * F )</t>
  </si>
  <si>
    <t>H = G * F</t>
  </si>
  <si>
    <t>I = E * ( A / ( A + B * F ) )</t>
  </si>
  <si>
    <t>J = E - I</t>
  </si>
  <si>
    <t>K = I * 1000 / A</t>
  </si>
  <si>
    <t>L = J * 1000 / B</t>
  </si>
  <si>
    <t>The equations used to calculate emission allocations in the table above are mathematically identical to those in the current WRI default efficiency method.  However, they have been rearranged to allow the user to select a value for the parameter that controls the allocation (the ratio of efficiencies) in a way that is consistent with the energy balance for the CHP system.  The rearrangements have been made so that the assumptions inherrent to the efficiency method, and their implications, are more clear.  The equations make it clear that (a) the parameter that controls the allocation is the ratio of the efficiencies for heat and power generation, and (b) this ratio and the individual efficiencies are constrained by the energy balance.</t>
  </si>
  <si>
    <t>Data for Method 3 - Landfills</t>
  </si>
  <si>
    <t>Waste type</t>
  </si>
  <si>
    <t>Landfill description</t>
  </si>
  <si>
    <t>Example: Landfill A</t>
  </si>
  <si>
    <t>Mill sludge, ash and misc.</t>
  </si>
  <si>
    <t>Quantity of gas collected
[dry standard cubic meters/yr]</t>
  </si>
  <si>
    <t>Efficiency of gas collection system
[default = 0.75]</t>
  </si>
  <si>
    <t>Methane content of gas
[default = 0.5]</t>
  </si>
  <si>
    <t>Fraction of collected gas that is burned
[default = 1.0]</t>
  </si>
  <si>
    <t xml:space="preserve">Methane emissions in metric tons </t>
  </si>
  <si>
    <t xml:space="preserve">Methane emissions in metric tons CO2 equivalents </t>
  </si>
  <si>
    <t>The following information is not directly used in the GHG emissions calculations, but is intended to provide clarification of the type of facility for which the inventory is being performed.</t>
  </si>
  <si>
    <t>L2</t>
  </si>
  <si>
    <t>L1</t>
  </si>
  <si>
    <t xml:space="preserve">Method 2 - For landfills that cannot use Method 1.  </t>
  </si>
  <si>
    <t>H</t>
  </si>
  <si>
    <t>Fraction of uncollected methane that oxidizes in the landfill cover
[default = 0.1]</t>
  </si>
  <si>
    <t>Quantity of methane released
[dry standard cubic meters/yr]</t>
  </si>
  <si>
    <t>F=((A/B)*(1-B)*D*(1-E))+(A*D*(1-C))</t>
  </si>
  <si>
    <t>First order methane generation rate constant, k
[default for mill waste = 0.03 per year</t>
  </si>
  <si>
    <t>Quantity of methane generated
[dry standard cubic meters/yr]</t>
  </si>
  <si>
    <t>Years since landfill opened</t>
  </si>
  <si>
    <t>Years since landfill stopped receiving waste</t>
  </si>
  <si>
    <t>F = A * B * (e^(-k*E) - e^(-k*D))</t>
  </si>
  <si>
    <t>Methane emissions in cubic meters per year</t>
  </si>
  <si>
    <t>I</t>
  </si>
  <si>
    <t>J</t>
  </si>
  <si>
    <t>Use this space to provide a general description of operational boundaries.</t>
  </si>
  <si>
    <t xml:space="preserve">Sum of mill landfill methane emissions from Methods 1, 2 &amp; 3: </t>
  </si>
  <si>
    <t xml:space="preserve">Use this space to provide additional information helpful to understanding the operational boundaries of the inventory. </t>
  </si>
  <si>
    <t>Step 8</t>
  </si>
  <si>
    <t>Introduction</t>
  </si>
  <si>
    <t>Table of Contents</t>
  </si>
  <si>
    <t xml:space="preserve"> </t>
  </si>
  <si>
    <t>Operations in Inventory</t>
  </si>
  <si>
    <t>Example&gt;&gt;</t>
  </si>
  <si>
    <t>Fraction of landfill gas that is collected</t>
  </si>
  <si>
    <t>K</t>
  </si>
  <si>
    <t>L</t>
  </si>
  <si>
    <t>J = (F*(1-H)*(1-G))+(F*H*(1-I))</t>
  </si>
  <si>
    <t>Fraction of collected landfill gas that is burned</t>
  </si>
  <si>
    <t>Name of Inventory</t>
  </si>
  <si>
    <t>General description of inventory boundaries</t>
  </si>
  <si>
    <t>Summary of Inventory Results</t>
  </si>
  <si>
    <t>CHP Allocation</t>
  </si>
  <si>
    <t>Summary Table</t>
  </si>
  <si>
    <t>System description</t>
  </si>
  <si>
    <t>The reporting format for the "Calculation tools for estimating greehouse gas emissions from pulp and paper mills" can be satisfied by printing the following completed worksheets:</t>
  </si>
  <si>
    <t>(A list of revisions from earlier versions of this spreadsheet is contained in the worksheet labeled "Revision Log.")</t>
  </si>
  <si>
    <t>Emission factor for heat production</t>
  </si>
  <si>
    <t>Emission factor for electricity production</t>
  </si>
  <si>
    <t>Step 9</t>
  </si>
  <si>
    <t>Step 10</t>
  </si>
  <si>
    <t>Energy used</t>
  </si>
  <si>
    <t>metric tonnes</t>
  </si>
  <si>
    <t>kWh</t>
  </si>
  <si>
    <t>Fuel</t>
  </si>
  <si>
    <t>Carbon Contents and HHVs</t>
  </si>
  <si>
    <t>HHV</t>
  </si>
  <si>
    <t>Physical Unit (pu)</t>
  </si>
  <si>
    <t>kg/pu</t>
  </si>
  <si>
    <t>GJ/pu</t>
  </si>
  <si>
    <t>Ethane</t>
  </si>
  <si>
    <t>Remark</t>
  </si>
  <si>
    <t>kL</t>
  </si>
  <si>
    <t>HHV should be provided only if provided by the fuel supplier or routinely measured by the facility.</t>
  </si>
  <si>
    <t>Tire-derived fuel</t>
  </si>
  <si>
    <t>Wood fuel/wood waste</t>
  </si>
  <si>
    <t>Spent pulping liquor - softwood</t>
  </si>
  <si>
    <t>Spent pulping liquor - hardwood</t>
  </si>
  <si>
    <t>Spent pulping liquor - straw</t>
  </si>
  <si>
    <t>Wastewater residuals</t>
  </si>
  <si>
    <t>Propane - Industry</t>
  </si>
  <si>
    <t>Propane - Onsite transportation</t>
  </si>
  <si>
    <t>Diesel - Stationary combustion</t>
  </si>
  <si>
    <t>Diesel - Onsite transportation, &lt; 19 kW</t>
  </si>
  <si>
    <t>Diesel - Onsite transportation, &gt;= 19 kW, Tier 1-3</t>
  </si>
  <si>
    <t>Diesel - Onsite transportation, &gt;= 19 kW, Tier 1-4</t>
  </si>
  <si>
    <t>Gasoline - Stationary combustion</t>
  </si>
  <si>
    <t>HHV should be provided only if provided by the fuel supplier or routinely measured by the facility. If the HHV is provided, then the carbon content can but does not need to be reported as well.</t>
  </si>
  <si>
    <t>Either the carbon content or the HHV should be provided.</t>
  </si>
  <si>
    <t>Gasoline - Onsite transportation, 2-stroke</t>
  </si>
  <si>
    <t>kg/GJ</t>
  </si>
  <si>
    <t>Light fuel oil - Industrial</t>
  </si>
  <si>
    <t>Light fuel oil - Forestry</t>
  </si>
  <si>
    <t>Heavy fuel oil - Industrial</t>
  </si>
  <si>
    <t>Heavy fuel oil - Forestry</t>
  </si>
  <si>
    <t>Use carbon contents (or HHV for natural gas)</t>
  </si>
  <si>
    <t>Kerosene - Industrial</t>
  </si>
  <si>
    <t>Kerosene - Forestry</t>
  </si>
  <si>
    <t>Natural gas - Stationary combustion</t>
  </si>
  <si>
    <t>Natural gas - Onsite transportation</t>
  </si>
  <si>
    <t>No factors provided</t>
  </si>
  <si>
    <t>Other minor biomass fuels</t>
  </si>
  <si>
    <t>Gasoline - Onsite transportation, 4-stroke</t>
  </si>
  <si>
    <t>Biodiesel - Onsite transportation, &lt; 19 kW</t>
  </si>
  <si>
    <t>Biodiesel - Onsite transportation, &gt;= 19 kW, Tier 1-3</t>
  </si>
  <si>
    <t>Biodiesel - Onsite transportation, &gt;= 19 kW, Tier 1-4</t>
  </si>
  <si>
    <t>Physical unit (pu)</t>
  </si>
  <si>
    <t>Ethanol - Onsite transportation, 2-stroke</t>
  </si>
  <si>
    <t>Ethanol - Onsite transportation, 4-stroke</t>
  </si>
  <si>
    <t>Ethanol - Stationary combustion</t>
  </si>
  <si>
    <t>Biodiesel - Stationary combustion</t>
  </si>
  <si>
    <t>Emissions</t>
  </si>
  <si>
    <t>GJ HHV/pu</t>
  </si>
  <si>
    <t>GJ HHV</t>
  </si>
  <si>
    <t>Emission Factors</t>
  </si>
  <si>
    <t>Selected unit</t>
  </si>
  <si>
    <t>kg/selected unit</t>
  </si>
  <si>
    <t>Provide carbon content if available.</t>
  </si>
  <si>
    <t>User entry</t>
  </si>
  <si>
    <t>No factors available</t>
  </si>
  <si>
    <t>Notes:</t>
  </si>
  <si>
    <t>Global Warming potentials used in this tool are:</t>
  </si>
  <si>
    <t>GHG emissions from stationary fossil fuel combustion</t>
  </si>
  <si>
    <t>Total</t>
  </si>
  <si>
    <t xml:space="preserve">Emission Factors (EFs)
</t>
  </si>
  <si>
    <t>IMPORTANT! For each fuel, be careful to report amount in the same physical unit (pu) as listed in column E!</t>
  </si>
  <si>
    <t>Quantity used</t>
  </si>
  <si>
    <t>Q</t>
  </si>
  <si>
    <t>MCF</t>
  </si>
  <si>
    <t>Type of treatment and discharge pathway or system</t>
  </si>
  <si>
    <t>Untreated</t>
  </si>
  <si>
    <t>Well-maintened aerobic</t>
  </si>
  <si>
    <t>Not well maintained/overloaded aerobic</t>
  </si>
  <si>
    <t>Recommended MCF</t>
  </si>
  <si>
    <t>Anaerobic digester</t>
  </si>
  <si>
    <t>Anaerobic reactor</t>
  </si>
  <si>
    <t>Anaerobic shalow lagoon (&lt; 2m debt)</t>
  </si>
  <si>
    <t>Anaerobic shalow lagoon (&gt; 2m debt)</t>
  </si>
  <si>
    <t>CF</t>
  </si>
  <si>
    <t>Methane emissions from wastewater treatment or sludge digestion systems</t>
  </si>
  <si>
    <t>Nitrous oxide emissions from wastewater treatment or sludge digestion systems</t>
  </si>
  <si>
    <t>Total methane emissions</t>
  </si>
  <si>
    <t>Total nitrous oxide emissions</t>
  </si>
  <si>
    <t>Quantity Used</t>
  </si>
  <si>
    <t>metric tonnes/yr</t>
  </si>
  <si>
    <t xml:space="preserve">Metric Tonne </t>
  </si>
  <si>
    <t>User entry:</t>
  </si>
  <si>
    <t>Stationary Combustion</t>
  </si>
  <si>
    <t>Onsite Transportation</t>
  </si>
  <si>
    <t>Make-up Chemicals</t>
  </si>
  <si>
    <t>Wastewater</t>
  </si>
  <si>
    <t>Onsite transportation</t>
  </si>
  <si>
    <t>Waste</t>
  </si>
  <si>
    <t>EFs_GHGRP</t>
  </si>
  <si>
    <t>Tool for allocating emissions from combined heat and power systems</t>
  </si>
  <si>
    <t>Light fuel oil - Industrial*</t>
  </si>
  <si>
    <t>Light fuel oil - Forestry*</t>
  </si>
  <si>
    <t>Heavy fuel oil - Industrial*</t>
  </si>
  <si>
    <t>Heavy fuel oil - Forestry*</t>
  </si>
  <si>
    <t>Kerosene - Industrial*</t>
  </si>
  <si>
    <t>Kerosene - Forestry*</t>
  </si>
  <si>
    <t>Natural gas - Stationary combustion*</t>
  </si>
  <si>
    <t>Natural gas - Onsite transportation*</t>
  </si>
  <si>
    <t>Tire-derived fuel*</t>
  </si>
  <si>
    <t>Other minor biomass fuels*</t>
  </si>
  <si>
    <t>*Not required, but can be added for completeness.</t>
  </si>
  <si>
    <t xml:space="preserve">Onsite Transportation </t>
  </si>
  <si>
    <t>Emissions from Make-up Chemicals</t>
  </si>
  <si>
    <t>Waste Management</t>
  </si>
  <si>
    <t>MWh</t>
  </si>
  <si>
    <t>Emissions from stationary fuel combustion</t>
  </si>
  <si>
    <t>Emissions from onsite transportation</t>
  </si>
  <si>
    <t>Electricity Generation Units</t>
  </si>
  <si>
    <t>*FPAC. 2019. FPAC Guidance Reporting to the Greenhouse Gas Reporting Program (GHGRP).</t>
  </si>
  <si>
    <t>Emissions Associated with Electricity Generation Units (EGUs)</t>
  </si>
  <si>
    <t>Electricity Generation Unit</t>
  </si>
  <si>
    <t>Auto calculated value</t>
  </si>
  <si>
    <t>User entry: Emissions</t>
  </si>
  <si>
    <t>Electricity production</t>
  </si>
  <si>
    <t>Total emissions from EGU</t>
  </si>
  <si>
    <t>metric tonnes CO2 eq.</t>
  </si>
  <si>
    <t>Electricity Generation Units (EGUs)</t>
  </si>
  <si>
    <t>Emissions attributable to heat/steam production</t>
  </si>
  <si>
    <t>Emissions attributable to lime kilns</t>
  </si>
  <si>
    <t>Emissions attributable to electricity generation units</t>
  </si>
  <si>
    <t>Natural gas - Lime kilns</t>
  </si>
  <si>
    <t>Light fuel oil - Industrial, Lime kilns</t>
  </si>
  <si>
    <t>Light fuel oil - Stationary combustion</t>
  </si>
  <si>
    <t>Heavy fuel oil - Stationary combustion</t>
  </si>
  <si>
    <t>Heavy fuel oil - Lime kilns</t>
  </si>
  <si>
    <t>Emissions from wastewater</t>
  </si>
  <si>
    <t>Emissions from waste management</t>
  </si>
  <si>
    <t>Emissions from make-up chemicals</t>
  </si>
  <si>
    <t>Stationary combustion</t>
  </si>
  <si>
    <r>
      <t>This tool intends to facilitate the calculation of direct CO</t>
    </r>
    <r>
      <rPr>
        <vertAlign val="subscript"/>
        <sz val="12"/>
        <rFont val="Calibri"/>
        <family val="2"/>
      </rPr>
      <t>2</t>
    </r>
    <r>
      <rPr>
        <sz val="12"/>
        <rFont val="Calibri"/>
        <family val="2"/>
      </rPr>
      <t>, CH</t>
    </r>
    <r>
      <rPr>
        <vertAlign val="subscript"/>
        <sz val="12"/>
        <rFont val="Calibri"/>
        <family val="2"/>
      </rPr>
      <t>4</t>
    </r>
    <r>
      <rPr>
        <sz val="12"/>
        <rFont val="Calibri"/>
        <family val="2"/>
      </rPr>
      <t>, and N</t>
    </r>
    <r>
      <rPr>
        <vertAlign val="subscript"/>
        <sz val="12"/>
        <rFont val="Calibri"/>
        <family val="2"/>
      </rPr>
      <t>2</t>
    </r>
    <r>
      <rPr>
        <sz val="12"/>
        <rFont val="Calibri"/>
        <family val="2"/>
      </rPr>
      <t xml:space="preserve">O emissions from pulp and paper mills and ancillary operations.  </t>
    </r>
  </si>
  <si>
    <r>
      <t>kg CO</t>
    </r>
    <r>
      <rPr>
        <vertAlign val="subscript"/>
        <sz val="12"/>
        <rFont val="Calibri"/>
        <family val="2"/>
      </rPr>
      <t>2</t>
    </r>
    <r>
      <rPr>
        <sz val="12"/>
        <rFont val="Calibri"/>
        <family val="2"/>
      </rPr>
      <t xml:space="preserve"> eq./kg CH</t>
    </r>
    <r>
      <rPr>
        <vertAlign val="subscript"/>
        <sz val="12"/>
        <rFont val="Calibri"/>
        <family val="2"/>
      </rPr>
      <t>4</t>
    </r>
  </si>
  <si>
    <r>
      <t>User Agreement:</t>
    </r>
    <r>
      <rPr>
        <sz val="12"/>
        <rFont val="Calibri"/>
        <family val="2"/>
      </rPr>
      <t xml:space="preserve">  By using the Spreadsheets and associated materials in any manner, the User agrees to the following terms of this agreement:</t>
    </r>
  </si>
  <si>
    <r>
      <t>Copyright:</t>
    </r>
    <r>
      <rPr>
        <sz val="12"/>
        <rFont val="Calibri"/>
        <family val="2"/>
      </rPr>
      <t xml:space="preserve">  Portions of the spreadsheets and associated materials were developed by WRI, WBCSD or NCASI, are copyrighted, and are published here with the permission of those developers.  The User acknowledges these copyrights.  </t>
    </r>
  </si>
  <si>
    <r>
      <t>Acknowledgement:</t>
    </r>
    <r>
      <rPr>
        <sz val="12"/>
        <rFont val="Calibri"/>
        <family val="2"/>
      </rPr>
      <t xml:space="preserve">  The User agrees to acknowledge WRI, WBCSD, and NCASI for their roles in developing the Spreadsheets whenever the User authors reports or publications based in whole or in part on the use of the Spreadsheets.  </t>
    </r>
  </si>
  <si>
    <r>
      <t>Disclaimer:</t>
    </r>
    <r>
      <rPr>
        <sz val="12"/>
        <rFont val="Calibri"/>
        <family val="2"/>
      </rPr>
      <t xml:space="preserve"> These Spreadsheets and associated materials have been prepared with a high degree of expertise and professionalism, and it is believed that the Spreadsheets provide a useful and accurate approach for calculating greenhouse gas emissions.  However, the organizations involved in their development, including WRI, WBCSD, and NCASI, collectively and individually, do not warrant these Spreadsheets for any purpose, nor do they make any representations regarding their fitness for any use or purpose whatsoever.  Each User agrees to decide if, when and how to use the Spreadsheets, and does so at his or her sole risk.  Under no circumstances shall WRI, WBCSD, or NCASI be liable for any damages, including incidental, special or consequential damages, arising from the use of these Spreadsheets or an inability to use them.  </t>
    </r>
  </si>
  <si>
    <r>
      <t>Biomass Combustion CO</t>
    </r>
    <r>
      <rPr>
        <vertAlign val="subscript"/>
        <sz val="12"/>
        <rFont val="Calibri"/>
        <family val="2"/>
      </rPr>
      <t>2</t>
    </r>
  </si>
  <si>
    <r>
      <t>CO</t>
    </r>
    <r>
      <rPr>
        <vertAlign val="subscript"/>
        <sz val="12"/>
        <rFont val="Calibri"/>
        <family val="2"/>
      </rPr>
      <t>2</t>
    </r>
    <r>
      <rPr>
        <sz val="12"/>
        <rFont val="Calibri"/>
        <family val="2"/>
      </rPr>
      <t xml:space="preserve"> Imports and Exports</t>
    </r>
  </si>
  <si>
    <t>Spreadsheets for Calculating GHG Emissions from</t>
  </si>
  <si>
    <t>Pulp and Paper Manufacturing Under the</t>
  </si>
  <si>
    <t>Canadian GHG Reporting Program (GHGRP)</t>
  </si>
  <si>
    <r>
      <t>Emissions of CO</t>
    </r>
    <r>
      <rPr>
        <vertAlign val="subscript"/>
        <sz val="12"/>
        <rFont val="Calibri"/>
        <family val="2"/>
      </rPr>
      <t>2</t>
    </r>
    <r>
      <rPr>
        <sz val="12"/>
        <rFont val="Calibri"/>
        <family val="2"/>
      </rPr>
      <t>, CH</t>
    </r>
    <r>
      <rPr>
        <vertAlign val="subscript"/>
        <sz val="12"/>
        <rFont val="Calibri"/>
        <family val="2"/>
      </rPr>
      <t>4</t>
    </r>
    <r>
      <rPr>
        <sz val="12"/>
        <rFont val="Calibri"/>
        <family val="2"/>
      </rPr>
      <t>, and N</t>
    </r>
    <r>
      <rPr>
        <vertAlign val="subscript"/>
        <sz val="12"/>
        <rFont val="Calibri"/>
        <family val="2"/>
      </rPr>
      <t>2</t>
    </r>
    <r>
      <rPr>
        <sz val="12"/>
        <rFont val="Calibri"/>
        <family val="2"/>
      </rPr>
      <t>O from fuel combustion in stationary combustion equipement</t>
    </r>
  </si>
  <si>
    <r>
      <t>Emissions of CO</t>
    </r>
    <r>
      <rPr>
        <vertAlign val="subscript"/>
        <sz val="12"/>
        <rFont val="Calibri"/>
        <family val="2"/>
      </rPr>
      <t>2</t>
    </r>
    <r>
      <rPr>
        <sz val="12"/>
        <rFont val="Calibri"/>
        <family val="2"/>
      </rPr>
      <t>, CH</t>
    </r>
    <r>
      <rPr>
        <vertAlign val="subscript"/>
        <sz val="12"/>
        <rFont val="Calibri"/>
        <family val="2"/>
      </rPr>
      <t>4</t>
    </r>
    <r>
      <rPr>
        <sz val="12"/>
        <rFont val="Calibri"/>
        <family val="2"/>
      </rPr>
      <t>, and N</t>
    </r>
    <r>
      <rPr>
        <vertAlign val="subscript"/>
        <sz val="12"/>
        <rFont val="Calibri"/>
        <family val="2"/>
      </rPr>
      <t>2</t>
    </r>
    <r>
      <rPr>
        <sz val="12"/>
        <rFont val="Calibri"/>
        <family val="2"/>
      </rPr>
      <t>O from fuel combustion attributable to electricity production</t>
    </r>
  </si>
  <si>
    <r>
      <t>Emissions of CO</t>
    </r>
    <r>
      <rPr>
        <vertAlign val="subscript"/>
        <sz val="12"/>
        <rFont val="Calibri"/>
        <family val="2"/>
      </rPr>
      <t>2</t>
    </r>
    <r>
      <rPr>
        <sz val="12"/>
        <rFont val="Calibri"/>
        <family val="2"/>
      </rPr>
      <t>, CH</t>
    </r>
    <r>
      <rPr>
        <vertAlign val="subscript"/>
        <sz val="12"/>
        <rFont val="Calibri"/>
        <family val="2"/>
      </rPr>
      <t>4</t>
    </r>
    <r>
      <rPr>
        <sz val="12"/>
        <rFont val="Calibri"/>
        <family val="2"/>
      </rPr>
      <t>, and N</t>
    </r>
    <r>
      <rPr>
        <vertAlign val="subscript"/>
        <sz val="12"/>
        <rFont val="Calibri"/>
        <family val="2"/>
      </rPr>
      <t>2</t>
    </r>
    <r>
      <rPr>
        <sz val="12"/>
        <rFont val="Calibri"/>
        <family val="2"/>
      </rPr>
      <t>O from fuel combustion in mobile equipment and transportation devices</t>
    </r>
  </si>
  <si>
    <r>
      <t>Direct emissions of biomass CO</t>
    </r>
    <r>
      <rPr>
        <vertAlign val="subscript"/>
        <sz val="12"/>
        <rFont val="Calibri"/>
        <family val="2"/>
      </rPr>
      <t>2</t>
    </r>
    <r>
      <rPr>
        <sz val="12"/>
        <rFont val="Calibri"/>
        <family val="2"/>
      </rPr>
      <t xml:space="preserve"> for informational purposes only (do not include in GHG inventory)</t>
    </r>
  </si>
  <si>
    <r>
      <t>Direct emissions of CO</t>
    </r>
    <r>
      <rPr>
        <vertAlign val="subscript"/>
        <sz val="12"/>
        <rFont val="Calibri"/>
        <family val="2"/>
      </rPr>
      <t>2</t>
    </r>
    <r>
      <rPr>
        <sz val="12"/>
        <rFont val="Calibri"/>
        <family val="2"/>
      </rPr>
      <t xml:space="preserve"> from make-up carbonates used in the pulp mill</t>
    </r>
  </si>
  <si>
    <r>
      <t>Emissions of CH</t>
    </r>
    <r>
      <rPr>
        <vertAlign val="subscript"/>
        <sz val="12"/>
        <rFont val="Calibri"/>
        <family val="2"/>
      </rPr>
      <t>4</t>
    </r>
    <r>
      <rPr>
        <sz val="12"/>
        <rFont val="Calibri"/>
        <family val="2"/>
      </rPr>
      <t xml:space="preserve"> and N</t>
    </r>
    <r>
      <rPr>
        <vertAlign val="subscript"/>
        <sz val="12"/>
        <rFont val="Calibri"/>
        <family val="2"/>
      </rPr>
      <t>2</t>
    </r>
    <r>
      <rPr>
        <sz val="12"/>
        <rFont val="Calibri"/>
        <family val="2"/>
      </rPr>
      <t>O resulting from mill-owned wastewater treatment operations</t>
    </r>
  </si>
  <si>
    <r>
      <t>Emissions of CH</t>
    </r>
    <r>
      <rPr>
        <vertAlign val="subscript"/>
        <sz val="12"/>
        <rFont val="Calibri"/>
        <family val="2"/>
      </rPr>
      <t>4</t>
    </r>
    <r>
      <rPr>
        <sz val="12"/>
        <rFont val="Calibri"/>
        <family val="2"/>
      </rPr>
      <t xml:space="preserve"> resulting from mill-owned landfills </t>
    </r>
  </si>
  <si>
    <r>
      <t>CO</t>
    </r>
    <r>
      <rPr>
        <vertAlign val="subscript"/>
        <sz val="12"/>
        <rFont val="Calibri"/>
        <family val="2"/>
      </rPr>
      <t>2</t>
    </r>
    <r>
      <rPr>
        <sz val="12"/>
        <rFont val="Calibri"/>
        <family val="2"/>
      </rPr>
      <t xml:space="preserve"> emissions exported to precipitated calcium carbonate plants and CO</t>
    </r>
    <r>
      <rPr>
        <vertAlign val="subscript"/>
        <sz val="12"/>
        <rFont val="Calibri"/>
        <family val="2"/>
      </rPr>
      <t>2</t>
    </r>
    <r>
      <rPr>
        <sz val="12"/>
        <rFont val="Calibri"/>
        <family val="2"/>
      </rPr>
      <t xml:space="preserve"> imports (e.g. for neutralization)</t>
    </r>
  </si>
  <si>
    <t>Inventory boundaries and operations included in the inventory</t>
  </si>
  <si>
    <t>Entry of measured carbon contents and higher heating values</t>
  </si>
  <si>
    <t>Emission factors used in the inventory either directly prescribed by the GHGRP or calculated based on user-specified carbon contents or higher heating values</t>
  </si>
  <si>
    <t>Results of inventory</t>
  </si>
  <si>
    <t>Emission factors prescribed in the GHGRP</t>
  </si>
  <si>
    <t>Factors for converting among common units of measure</t>
  </si>
  <si>
    <t>Revisions made to the various versions of these calculation tools.</t>
  </si>
  <si>
    <r>
      <t>m</t>
    </r>
    <r>
      <rPr>
        <vertAlign val="superscript"/>
        <sz val="12"/>
        <rFont val="Calibri"/>
        <family val="2"/>
      </rPr>
      <t>3</t>
    </r>
  </si>
  <si>
    <r>
      <t>CO</t>
    </r>
    <r>
      <rPr>
        <b/>
        <vertAlign val="subscript"/>
        <sz val="12"/>
        <rFont val="Calibri"/>
        <family val="2"/>
      </rPr>
      <t>2</t>
    </r>
  </si>
  <si>
    <r>
      <t>CH</t>
    </r>
    <r>
      <rPr>
        <b/>
        <vertAlign val="subscript"/>
        <sz val="12"/>
        <rFont val="Calibri"/>
        <family val="2"/>
      </rPr>
      <t>4</t>
    </r>
  </si>
  <si>
    <r>
      <t>N</t>
    </r>
    <r>
      <rPr>
        <b/>
        <vertAlign val="subscript"/>
        <sz val="12"/>
        <rFont val="Calibri"/>
        <family val="2"/>
      </rPr>
      <t>2</t>
    </r>
    <r>
      <rPr>
        <b/>
        <sz val="12"/>
        <rFont val="Calibri"/>
        <family val="2"/>
      </rPr>
      <t>O</t>
    </r>
  </si>
  <si>
    <r>
      <t>The sum of CH</t>
    </r>
    <r>
      <rPr>
        <vertAlign val="subscript"/>
        <sz val="12"/>
        <rFont val="Calibri"/>
        <family val="2"/>
      </rPr>
      <t>4</t>
    </r>
    <r>
      <rPr>
        <sz val="12"/>
        <rFont val="Calibri"/>
        <family val="2"/>
      </rPr>
      <t xml:space="preserve"> and N</t>
    </r>
    <r>
      <rPr>
        <vertAlign val="subscript"/>
        <sz val="12"/>
        <rFont val="Calibri"/>
        <family val="2"/>
      </rPr>
      <t>2</t>
    </r>
    <r>
      <rPr>
        <sz val="12"/>
        <rFont val="Calibri"/>
        <family val="2"/>
      </rPr>
      <t>O emissions, in CO</t>
    </r>
    <r>
      <rPr>
        <vertAlign val="subscript"/>
        <sz val="12"/>
        <rFont val="Calibri"/>
        <family val="2"/>
      </rPr>
      <t>2</t>
    </r>
    <r>
      <rPr>
        <sz val="12"/>
        <rFont val="Calibri"/>
        <family val="2"/>
      </rPr>
      <t xml:space="preserve"> equivalent, from the combustion of these individual fuels is not expected to exceed 0.5% of the total facility GHG emissions from all fuels combusted (excluding CO</t>
    </r>
    <r>
      <rPr>
        <vertAlign val="subscript"/>
        <sz val="12"/>
        <rFont val="Calibri"/>
        <family val="2"/>
      </rPr>
      <t>2</t>
    </r>
    <r>
      <rPr>
        <sz val="12"/>
        <rFont val="Calibri"/>
        <family val="2"/>
      </rPr>
      <t xml:space="preserve"> from biomass combustion).</t>
    </r>
  </si>
  <si>
    <r>
      <t>*The emission factor for CO</t>
    </r>
    <r>
      <rPr>
        <vertAlign val="subscript"/>
        <sz val="12"/>
        <rFont val="Calibri"/>
        <family val="2"/>
      </rPr>
      <t>2</t>
    </r>
    <r>
      <rPr>
        <sz val="12"/>
        <rFont val="Calibri"/>
        <family val="2"/>
      </rPr>
      <t xml:space="preserve"> is based on carbon content or HHV.</t>
    </r>
  </si>
  <si>
    <t>Natural gas - Lime kilns*</t>
  </si>
  <si>
    <r>
      <t xml:space="preserve">STATIONARY FUEL COMBUSTION </t>
    </r>
    <r>
      <rPr>
        <sz val="16"/>
        <color indexed="8"/>
        <rFont val="Calibri"/>
        <family val="2"/>
      </rPr>
      <t>(including methane and nitrous oxide emissions from biomass fuels)</t>
    </r>
  </si>
  <si>
    <t>Emissions from mobile sources are reported on the "Onsite Transportation" spreadsheet immediately behind this spreadsheet.</t>
  </si>
  <si>
    <r>
      <t>Where mills are exporting CO</t>
    </r>
    <r>
      <rPr>
        <vertAlign val="subscript"/>
        <sz val="14"/>
        <rFont val="Calibri"/>
        <family val="2"/>
      </rPr>
      <t>2</t>
    </r>
    <r>
      <rPr>
        <sz val="14"/>
        <rFont val="Calibri"/>
        <family val="2"/>
      </rPr>
      <t xml:space="preserve"> to precipitated calcium carbonate (PCC) plants, these exports are not considered emissions.  Amounts of exported CO</t>
    </r>
    <r>
      <rPr>
        <vertAlign val="subscript"/>
        <sz val="14"/>
        <rFont val="Calibri"/>
        <family val="2"/>
      </rPr>
      <t>2</t>
    </r>
    <r>
      <rPr>
        <sz val="14"/>
        <rFont val="Calibri"/>
        <family val="2"/>
      </rPr>
      <t xml:space="preserve"> are calculated in the sheet for "CO</t>
    </r>
    <r>
      <rPr>
        <vertAlign val="subscript"/>
        <sz val="14"/>
        <rFont val="Calibri"/>
        <family val="2"/>
      </rPr>
      <t>2</t>
    </r>
    <r>
      <rPr>
        <sz val="14"/>
        <rFont val="Calibri"/>
        <family val="2"/>
      </rPr>
      <t xml:space="preserve"> Imports and Exports."  On the "Stationary Combustion" sheet (this sheet), the amounts of exported CO</t>
    </r>
    <r>
      <rPr>
        <vertAlign val="subscript"/>
        <sz val="14"/>
        <rFont val="Calibri"/>
        <family val="2"/>
      </rPr>
      <t>2</t>
    </r>
    <r>
      <rPr>
        <sz val="14"/>
        <rFont val="Calibri"/>
        <family val="2"/>
      </rPr>
      <t xml:space="preserve"> are automatically subtracted from the sum of direct emissions from stationary fossil fuel combustion.  </t>
    </r>
  </si>
  <si>
    <r>
      <t>Facilities with boilers that are equiped with flue gas desulfurization (FGD) systems may need to estimate CO</t>
    </r>
    <r>
      <rPr>
        <vertAlign val="subscript"/>
        <sz val="14"/>
        <rFont val="Calibri"/>
        <family val="2"/>
      </rPr>
      <t>2</t>
    </r>
    <r>
      <rPr>
        <sz val="14"/>
        <rFont val="Calibri"/>
        <family val="2"/>
      </rPr>
      <t xml:space="preserve"> emissions associated with limestone or dolomite consumption in these scrubbers.  These emissions may be estimated in the "Make-up Chemicals" worksheet.</t>
    </r>
  </si>
  <si>
    <r>
      <t>Selected unit (su) for CH</t>
    </r>
    <r>
      <rPr>
        <b/>
        <vertAlign val="subscript"/>
        <sz val="12"/>
        <rFont val="Calibri"/>
        <family val="2"/>
      </rPr>
      <t>4</t>
    </r>
    <r>
      <rPr>
        <b/>
        <sz val="12"/>
        <rFont val="Calibri"/>
        <family val="2"/>
      </rPr>
      <t xml:space="preserve"> and N</t>
    </r>
    <r>
      <rPr>
        <b/>
        <vertAlign val="subscript"/>
        <sz val="12"/>
        <rFont val="Calibri"/>
        <family val="2"/>
      </rPr>
      <t>2</t>
    </r>
    <r>
      <rPr>
        <b/>
        <sz val="12"/>
        <rFont val="Calibri"/>
        <family val="2"/>
      </rPr>
      <t>O EFs</t>
    </r>
  </si>
  <si>
    <r>
      <t xml:space="preserve">Amount of fuel used in </t>
    </r>
    <r>
      <rPr>
        <b/>
        <u val="single"/>
        <sz val="12"/>
        <rFont val="Calibri"/>
        <family val="2"/>
      </rPr>
      <t>physical unit</t>
    </r>
  </si>
  <si>
    <r>
      <t>CO</t>
    </r>
    <r>
      <rPr>
        <b/>
        <vertAlign val="subscript"/>
        <sz val="12"/>
        <rFont val="Calibri"/>
        <family val="2"/>
      </rPr>
      <t>2</t>
    </r>
    <r>
      <rPr>
        <b/>
        <sz val="12"/>
        <rFont val="Calibri"/>
        <family val="2"/>
      </rPr>
      <t xml:space="preserve"> </t>
    </r>
  </si>
  <si>
    <r>
      <t>(kg CO</t>
    </r>
    <r>
      <rPr>
        <b/>
        <vertAlign val="subscript"/>
        <sz val="12"/>
        <rFont val="Calibri"/>
        <family val="2"/>
      </rPr>
      <t>2</t>
    </r>
    <r>
      <rPr>
        <b/>
        <sz val="12"/>
        <rFont val="Calibri"/>
        <family val="2"/>
      </rPr>
      <t>/pu)</t>
    </r>
  </si>
  <si>
    <r>
      <t>(kg CH</t>
    </r>
    <r>
      <rPr>
        <b/>
        <vertAlign val="subscript"/>
        <sz val="12"/>
        <rFont val="Calibri"/>
        <family val="2"/>
      </rPr>
      <t>4</t>
    </r>
    <r>
      <rPr>
        <b/>
        <sz val="12"/>
        <rFont val="Calibri"/>
        <family val="2"/>
      </rPr>
      <t>/su)</t>
    </r>
  </si>
  <si>
    <r>
      <t>(kg N</t>
    </r>
    <r>
      <rPr>
        <b/>
        <vertAlign val="subscript"/>
        <sz val="12"/>
        <rFont val="Calibri"/>
        <family val="2"/>
      </rPr>
      <t>2</t>
    </r>
    <r>
      <rPr>
        <b/>
        <sz val="12"/>
        <rFont val="Calibri"/>
        <family val="2"/>
      </rPr>
      <t>O/su)</t>
    </r>
  </si>
  <si>
    <r>
      <t>metric tonne CO</t>
    </r>
    <r>
      <rPr>
        <b/>
        <vertAlign val="subscript"/>
        <sz val="12"/>
        <rFont val="Calibri"/>
        <family val="2"/>
      </rPr>
      <t>2</t>
    </r>
  </si>
  <si>
    <r>
      <t>metric tonne CH</t>
    </r>
    <r>
      <rPr>
        <b/>
        <vertAlign val="subscript"/>
        <sz val="12"/>
        <rFont val="Calibri"/>
        <family val="2"/>
      </rPr>
      <t>4</t>
    </r>
  </si>
  <si>
    <r>
      <t>metric tonne N</t>
    </r>
    <r>
      <rPr>
        <b/>
        <vertAlign val="subscript"/>
        <sz val="12"/>
        <rFont val="Calibri"/>
        <family val="2"/>
      </rPr>
      <t>2</t>
    </r>
    <r>
      <rPr>
        <b/>
        <sz val="12"/>
        <rFont val="Calibri"/>
        <family val="2"/>
      </rPr>
      <t>O</t>
    </r>
  </si>
  <si>
    <r>
      <t>No CH</t>
    </r>
    <r>
      <rPr>
        <b/>
        <vertAlign val="subscript"/>
        <sz val="12"/>
        <color indexed="10"/>
        <rFont val="Calibri"/>
        <family val="2"/>
      </rPr>
      <t>4</t>
    </r>
    <r>
      <rPr>
        <b/>
        <sz val="12"/>
        <color indexed="10"/>
        <rFont val="Calibri"/>
        <family val="2"/>
      </rPr>
      <t xml:space="preserve"> and N</t>
    </r>
    <r>
      <rPr>
        <b/>
        <vertAlign val="subscript"/>
        <sz val="12"/>
        <color indexed="10"/>
        <rFont val="Calibri"/>
        <family val="2"/>
      </rPr>
      <t>2</t>
    </r>
    <r>
      <rPr>
        <b/>
        <sz val="12"/>
        <color indexed="10"/>
        <rFont val="Calibri"/>
        <family val="2"/>
      </rPr>
      <t>O EFs for tire-derived fuel. User can provide its own if available.</t>
    </r>
  </si>
  <si>
    <t xml:space="preserve"> Other minor fuels are not expected to go above the reporting threshold. If they are, user should define its own EFs.</t>
  </si>
  <si>
    <r>
      <t>Sum GHG emissions and CO</t>
    </r>
    <r>
      <rPr>
        <b/>
        <vertAlign val="subscript"/>
        <sz val="12"/>
        <rFont val="Calibri"/>
        <family val="2"/>
      </rPr>
      <t>2</t>
    </r>
    <r>
      <rPr>
        <b/>
        <sz val="12"/>
        <rFont val="Calibri"/>
        <family val="2"/>
      </rPr>
      <t xml:space="preserve"> exports</t>
    </r>
  </si>
  <si>
    <r>
      <t>CO</t>
    </r>
    <r>
      <rPr>
        <b/>
        <vertAlign val="subscript"/>
        <sz val="12"/>
        <rFont val="Calibri"/>
        <family val="2"/>
      </rPr>
      <t>2</t>
    </r>
    <r>
      <rPr>
        <b/>
        <sz val="12"/>
        <rFont val="Calibri"/>
        <family val="2"/>
      </rPr>
      <t xml:space="preserve"> exported to PCC plant (calculated in "CO</t>
    </r>
    <r>
      <rPr>
        <b/>
        <vertAlign val="subscript"/>
        <sz val="12"/>
        <rFont val="Calibri"/>
        <family val="2"/>
      </rPr>
      <t>2</t>
    </r>
    <r>
      <rPr>
        <b/>
        <sz val="12"/>
        <rFont val="Calibri"/>
        <family val="2"/>
      </rPr>
      <t xml:space="preserve"> Imports and Exports" worksheet)</t>
    </r>
  </si>
  <si>
    <r>
      <t>metric tonnes CO</t>
    </r>
    <r>
      <rPr>
        <b/>
        <vertAlign val="subscript"/>
        <sz val="12"/>
        <rFont val="Calibri"/>
        <family val="2"/>
      </rPr>
      <t xml:space="preserve">2 </t>
    </r>
    <r>
      <rPr>
        <b/>
        <sz val="12"/>
        <rFont val="Calibri"/>
        <family val="2"/>
      </rPr>
      <t>eq.</t>
    </r>
  </si>
  <si>
    <t>ECCC requires to report emissions associated with each EGU separately. This would require allocating fuels between steam and electricity production. The "CHP Allocation" tab of this tool as well as FPAC guidance* may be used for this purpose.</t>
  </si>
  <si>
    <t>Note:</t>
  </si>
  <si>
    <r>
      <t>CO</t>
    </r>
    <r>
      <rPr>
        <vertAlign val="subscript"/>
        <sz val="12"/>
        <rFont val="Calibri"/>
        <family val="2"/>
      </rPr>
      <t>2</t>
    </r>
    <r>
      <rPr>
        <sz val="12"/>
        <rFont val="Calibri"/>
        <family val="2"/>
      </rPr>
      <t xml:space="preserve"> emissions from EGU</t>
    </r>
  </si>
  <si>
    <r>
      <t>CH</t>
    </r>
    <r>
      <rPr>
        <vertAlign val="subscript"/>
        <sz val="12"/>
        <rFont val="Calibri"/>
        <family val="2"/>
      </rPr>
      <t>4</t>
    </r>
    <r>
      <rPr>
        <sz val="12"/>
        <rFont val="Calibri"/>
        <family val="2"/>
      </rPr>
      <t xml:space="preserve"> emissions from EGU</t>
    </r>
  </si>
  <si>
    <r>
      <t>N</t>
    </r>
    <r>
      <rPr>
        <vertAlign val="subscript"/>
        <sz val="12"/>
        <rFont val="Calibri"/>
        <family val="2"/>
      </rPr>
      <t>2</t>
    </r>
    <r>
      <rPr>
        <sz val="12"/>
        <rFont val="Calibri"/>
        <family val="2"/>
      </rPr>
      <t>O emissions from EGU</t>
    </r>
  </si>
  <si>
    <r>
      <t>metric tonnes CO</t>
    </r>
    <r>
      <rPr>
        <vertAlign val="subscript"/>
        <sz val="12"/>
        <rFont val="Calibri"/>
        <family val="2"/>
      </rPr>
      <t>2</t>
    </r>
  </si>
  <si>
    <r>
      <t>metric tonnes CH</t>
    </r>
    <r>
      <rPr>
        <vertAlign val="subscript"/>
        <sz val="12"/>
        <rFont val="Calibri"/>
        <family val="2"/>
      </rPr>
      <t>4</t>
    </r>
  </si>
  <si>
    <r>
      <t>metric tonnes N</t>
    </r>
    <r>
      <rPr>
        <vertAlign val="subscript"/>
        <sz val="12"/>
        <rFont val="Calibri"/>
        <family val="2"/>
      </rPr>
      <t>2</t>
    </r>
    <r>
      <rPr>
        <sz val="12"/>
        <rFont val="Calibri"/>
        <family val="2"/>
      </rPr>
      <t>O</t>
    </r>
  </si>
  <si>
    <t>Emissions from stationary sources are reported on the "Direct-Fuel Combust." spreadsheet immediately in front of this spreadsheet</t>
  </si>
  <si>
    <t>Do not include any combustion sources on this page that were already addressed in the "Direct - Fuel Combust." sheet.</t>
  </si>
  <si>
    <t>This worksheet can be used to calculate emissions from mobile combustion sources, including transportation.</t>
  </si>
  <si>
    <r>
      <t>kg CO</t>
    </r>
    <r>
      <rPr>
        <b/>
        <vertAlign val="subscript"/>
        <sz val="12"/>
        <rFont val="Calibri"/>
        <family val="2"/>
      </rPr>
      <t>2</t>
    </r>
    <r>
      <rPr>
        <b/>
        <sz val="12"/>
        <rFont val="Calibri"/>
        <family val="2"/>
      </rPr>
      <t>/pu</t>
    </r>
  </si>
  <si>
    <r>
      <t>kg CH</t>
    </r>
    <r>
      <rPr>
        <b/>
        <vertAlign val="subscript"/>
        <sz val="12"/>
        <rFont val="Calibri"/>
        <family val="2"/>
      </rPr>
      <t>4</t>
    </r>
    <r>
      <rPr>
        <b/>
        <sz val="12"/>
        <rFont val="Calibri"/>
        <family val="2"/>
      </rPr>
      <t>/su</t>
    </r>
  </si>
  <si>
    <r>
      <t>kg N</t>
    </r>
    <r>
      <rPr>
        <b/>
        <vertAlign val="subscript"/>
        <sz val="12"/>
        <rFont val="Calibri"/>
        <family val="2"/>
      </rPr>
      <t>2</t>
    </r>
    <r>
      <rPr>
        <b/>
        <sz val="12"/>
        <rFont val="Calibri"/>
        <family val="2"/>
      </rPr>
      <t>O/su</t>
    </r>
  </si>
  <si>
    <r>
      <t>Metric tonnes  CO</t>
    </r>
    <r>
      <rPr>
        <b/>
        <vertAlign val="subscript"/>
        <sz val="12"/>
        <rFont val="Calibri"/>
        <family val="2"/>
      </rPr>
      <t xml:space="preserve">2 </t>
    </r>
    <r>
      <rPr>
        <b/>
        <sz val="12"/>
        <rFont val="Calibri"/>
        <family val="2"/>
      </rPr>
      <t>eq.</t>
    </r>
  </si>
  <si>
    <t>This worksheet can be used to report emissions from onsite production of electricity.</t>
  </si>
  <si>
    <t>EMISSION FACTORS</t>
  </si>
  <si>
    <t>CARBON CONTENTS AND HHVs</t>
  </si>
  <si>
    <t>In this worksheet, the user enters carbon contents and higher heating values (HHVs) for specified fuels.</t>
  </si>
  <si>
    <t>TABLE OF CONTENTS</t>
  </si>
  <si>
    <t>OPERATIONS IN THE INVENTORY</t>
  </si>
  <si>
    <t>This worksheet lists the emission factors selected or calculated for this inventory based on the information supplied by the user.</t>
  </si>
  <si>
    <r>
      <t>CO</t>
    </r>
    <r>
      <rPr>
        <b/>
        <vertAlign val="subscript"/>
        <sz val="12"/>
        <rFont val="Calibri"/>
        <family val="2"/>
      </rPr>
      <t>2</t>
    </r>
    <r>
      <rPr>
        <b/>
        <sz val="12"/>
        <rFont val="Calibri"/>
        <family val="2"/>
      </rPr>
      <t xml:space="preserve"> emission factor</t>
    </r>
  </si>
  <si>
    <r>
      <t>CO</t>
    </r>
    <r>
      <rPr>
        <b/>
        <vertAlign val="subscript"/>
        <sz val="12"/>
        <rFont val="Calibri"/>
        <family val="2"/>
      </rPr>
      <t>2</t>
    </r>
    <r>
      <rPr>
        <b/>
        <sz val="12"/>
        <rFont val="Calibri"/>
        <family val="2"/>
      </rPr>
      <t xml:space="preserve"> emissions</t>
    </r>
  </si>
  <si>
    <r>
      <t>Biomass CO</t>
    </r>
    <r>
      <rPr>
        <b/>
        <vertAlign val="subscript"/>
        <sz val="12"/>
        <rFont val="Calibri"/>
        <family val="2"/>
      </rPr>
      <t>2</t>
    </r>
    <r>
      <rPr>
        <b/>
        <sz val="12"/>
        <rFont val="Calibri"/>
        <family val="2"/>
      </rPr>
      <t xml:space="preserve"> from Stationary Combustion</t>
    </r>
  </si>
  <si>
    <r>
      <t>Amount of biomass-derived CO</t>
    </r>
    <r>
      <rPr>
        <b/>
        <vertAlign val="subscript"/>
        <sz val="12"/>
        <rFont val="Calibri"/>
        <family val="2"/>
      </rPr>
      <t>2</t>
    </r>
    <r>
      <rPr>
        <b/>
        <sz val="12"/>
        <rFont val="Calibri"/>
        <family val="2"/>
      </rPr>
      <t xml:space="preserve"> included in above number that is exported (e.g. to PCC plant) rather than being emitted - Optional information</t>
    </r>
  </si>
  <si>
    <r>
      <t>Amount of biomass-derived CO</t>
    </r>
    <r>
      <rPr>
        <b/>
        <vertAlign val="subscript"/>
        <sz val="12"/>
        <rFont val="Calibri"/>
        <family val="2"/>
      </rPr>
      <t>2</t>
    </r>
    <r>
      <rPr>
        <b/>
        <sz val="12"/>
        <rFont val="Calibri"/>
        <family val="2"/>
      </rPr>
      <t xml:space="preserve"> that is released</t>
    </r>
  </si>
  <si>
    <r>
      <t>Biomass CO</t>
    </r>
    <r>
      <rPr>
        <b/>
        <vertAlign val="subscript"/>
        <sz val="12"/>
        <rFont val="Calibri"/>
        <family val="2"/>
      </rPr>
      <t>2</t>
    </r>
    <r>
      <rPr>
        <b/>
        <sz val="12"/>
        <rFont val="Calibri"/>
        <family val="2"/>
      </rPr>
      <t xml:space="preserve"> from Onsite Transportation</t>
    </r>
  </si>
  <si>
    <r>
      <t>*It is important to note that the calcium make-up is required because of losses from the causticizing area, most of which are in the form of calcium carbonate.  This lost material is usually landfilled, thereby sequestering the carbon contained in the calcium carbonate.  Because the default method in these calculation tools does not consider this loss of carbon from the system, the estimated CO</t>
    </r>
    <r>
      <rPr>
        <vertAlign val="subscript"/>
        <sz val="11"/>
        <rFont val="Calibri"/>
        <family val="2"/>
      </rPr>
      <t>2</t>
    </r>
    <r>
      <rPr>
        <sz val="11"/>
        <rFont val="Calibri"/>
        <family val="2"/>
      </rPr>
      <t xml:space="preserve"> emissions from make-up calcium carbonate will be higher than actual emissions.  Where these emissions are significant, companies may want to perform the more detailed analyses required to correct the emissions estimates to account for the carbon that leaves the causticizing area in calcium carbonate.  </t>
    </r>
  </si>
  <si>
    <r>
      <t>**Limestone (calcium carbonate) and dolomite can be used as sorbents in flue gas desulfurization (FGD) systems and fluidized bed boilers.  During operation of these FGD systems the limestone is heated and CO</t>
    </r>
    <r>
      <rPr>
        <vertAlign val="subscript"/>
        <sz val="11"/>
        <rFont val="Calibri"/>
        <family val="2"/>
      </rPr>
      <t>2</t>
    </r>
    <r>
      <rPr>
        <sz val="11"/>
        <rFont val="Calibri"/>
        <family val="2"/>
      </rPr>
      <t xml:space="preserve"> is generated and released.  Because the amount of CO</t>
    </r>
    <r>
      <rPr>
        <vertAlign val="subscript"/>
        <sz val="11"/>
        <rFont val="Calibri"/>
        <family val="2"/>
      </rPr>
      <t>2</t>
    </r>
    <r>
      <rPr>
        <sz val="11"/>
        <rFont val="Calibri"/>
        <family val="2"/>
      </rPr>
      <t xml:space="preserve"> released is directly related to consumption of limestone in the FGD system, emissions can be calculated based on limestone consumption in the FGD system.</t>
    </r>
  </si>
  <si>
    <t>This worksheet can be used to calculate emissions from make-up chemicals.</t>
  </si>
  <si>
    <t>Make-up carbonates used in the pulp mill*</t>
  </si>
  <si>
    <t>Limestone or Dolomite used in flue gas desulfurization systems**</t>
  </si>
  <si>
    <r>
      <t>Total CO</t>
    </r>
    <r>
      <rPr>
        <vertAlign val="subscript"/>
        <sz val="12"/>
        <rFont val="Calibri"/>
        <family val="2"/>
      </rPr>
      <t>2</t>
    </r>
    <r>
      <rPr>
        <sz val="12"/>
        <rFont val="Calibri"/>
        <family val="2"/>
      </rPr>
      <t xml:space="preserve"> from FGD systems</t>
    </r>
  </si>
  <si>
    <r>
      <t>Emission factor
[kg CO</t>
    </r>
    <r>
      <rPr>
        <b/>
        <vertAlign val="subscript"/>
        <sz val="12"/>
        <rFont val="Calibri"/>
        <family val="2"/>
      </rPr>
      <t>2</t>
    </r>
    <r>
      <rPr>
        <b/>
        <sz val="12"/>
        <rFont val="Calibri"/>
        <family val="2"/>
      </rPr>
      <t xml:space="preserve"> per kg chemical]</t>
    </r>
  </si>
  <si>
    <r>
      <t>CO</t>
    </r>
    <r>
      <rPr>
        <b/>
        <vertAlign val="subscript"/>
        <sz val="12"/>
        <rFont val="Calibri"/>
        <family val="2"/>
      </rPr>
      <t>2</t>
    </r>
    <r>
      <rPr>
        <b/>
        <sz val="12"/>
        <rFont val="Calibri"/>
        <family val="2"/>
      </rPr>
      <t xml:space="preserve"> Emissions
[metric tons CO</t>
    </r>
    <r>
      <rPr>
        <b/>
        <vertAlign val="subscript"/>
        <sz val="12"/>
        <rFont val="Calibri"/>
        <family val="2"/>
      </rPr>
      <t>2</t>
    </r>
    <r>
      <rPr>
        <b/>
        <sz val="12"/>
        <rFont val="Calibri"/>
        <family val="2"/>
      </rPr>
      <t xml:space="preserve"> per year]</t>
    </r>
  </si>
  <si>
    <t>●</t>
  </si>
  <si>
    <t>This worksheet is for showing which operations are included in the inventory.</t>
  </si>
  <si>
    <r>
      <t>This worksheet can be used to calculate emissions from stationary combustion with the exception of biomass CO</t>
    </r>
    <r>
      <rPr>
        <i/>
        <vertAlign val="subscript"/>
        <sz val="14"/>
        <rFont val="Calibri"/>
        <family val="2"/>
      </rPr>
      <t>2</t>
    </r>
    <r>
      <rPr>
        <i/>
        <sz val="14"/>
        <rFont val="Calibri"/>
        <family val="2"/>
      </rPr>
      <t>.</t>
    </r>
  </si>
  <si>
    <r>
      <t>This worksheet is for estimating CO</t>
    </r>
    <r>
      <rPr>
        <i/>
        <vertAlign val="subscript"/>
        <sz val="14"/>
        <rFont val="Calibri"/>
        <family val="2"/>
      </rPr>
      <t xml:space="preserve">2 </t>
    </r>
    <r>
      <rPr>
        <i/>
        <sz val="14"/>
        <rFont val="Calibri"/>
        <family val="2"/>
      </rPr>
      <t>emissions from biomass combustion (stationary combustion and onsite transportation).</t>
    </r>
  </si>
  <si>
    <t>This worksheet can be used to calculate emissions for aerobic and anaerobic wastewater treatment and sludge digestion systems.</t>
  </si>
  <si>
    <r>
      <t>Scroll down the page to find the spreadsheet for CH</t>
    </r>
    <r>
      <rPr>
        <vertAlign val="subscript"/>
        <sz val="14"/>
        <rFont val="Calibri"/>
        <family val="2"/>
      </rPr>
      <t>4</t>
    </r>
    <r>
      <rPr>
        <sz val="14"/>
        <rFont val="Calibri"/>
        <family val="2"/>
      </rPr>
      <t xml:space="preserve"> and N</t>
    </r>
    <r>
      <rPr>
        <vertAlign val="subscript"/>
        <sz val="14"/>
        <rFont val="Calibri"/>
        <family val="2"/>
      </rPr>
      <t>2</t>
    </r>
    <r>
      <rPr>
        <sz val="14"/>
        <rFont val="Calibri"/>
        <family val="2"/>
      </rPr>
      <t>O emissions from wastewater.</t>
    </r>
  </si>
  <si>
    <r>
      <t>m</t>
    </r>
    <r>
      <rPr>
        <b/>
        <vertAlign val="superscript"/>
        <sz val="12"/>
        <rFont val="Calibri"/>
        <family val="2"/>
      </rPr>
      <t>3</t>
    </r>
  </si>
  <si>
    <r>
      <t>kg/m</t>
    </r>
    <r>
      <rPr>
        <b/>
        <vertAlign val="superscript"/>
        <sz val="12"/>
        <rFont val="Calibri"/>
        <family val="2"/>
      </rPr>
      <t>3</t>
    </r>
  </si>
  <si>
    <r>
      <t>BOD</t>
    </r>
    <r>
      <rPr>
        <b/>
        <vertAlign val="subscript"/>
        <sz val="12"/>
        <rFont val="Calibri"/>
        <family val="2"/>
      </rPr>
      <t>5qave</t>
    </r>
  </si>
  <si>
    <r>
      <t>kg CH</t>
    </r>
    <r>
      <rPr>
        <b/>
        <vertAlign val="subscript"/>
        <sz val="12"/>
        <rFont val="Calibri"/>
        <family val="2"/>
      </rPr>
      <t>4</t>
    </r>
    <r>
      <rPr>
        <b/>
        <sz val="12"/>
        <rFont val="Calibri"/>
        <family val="2"/>
      </rPr>
      <t>/kg BOD</t>
    </r>
    <r>
      <rPr>
        <b/>
        <vertAlign val="subscript"/>
        <sz val="12"/>
        <rFont val="Calibri"/>
        <family val="2"/>
      </rPr>
      <t>5</t>
    </r>
  </si>
  <si>
    <r>
      <t>metric tonnes CH</t>
    </r>
    <r>
      <rPr>
        <b/>
        <vertAlign val="subscript"/>
        <sz val="12"/>
        <rFont val="Calibri"/>
        <family val="2"/>
      </rPr>
      <t>4</t>
    </r>
  </si>
  <si>
    <r>
      <t>metric tonnes CO</t>
    </r>
    <r>
      <rPr>
        <b/>
        <vertAlign val="subscript"/>
        <sz val="12"/>
        <rFont val="Calibri"/>
        <family val="2"/>
      </rPr>
      <t>2</t>
    </r>
    <r>
      <rPr>
        <b/>
        <sz val="12"/>
        <rFont val="Calibri"/>
        <family val="2"/>
      </rPr>
      <t xml:space="preserve"> eq.</t>
    </r>
  </si>
  <si>
    <r>
      <rPr>
        <b/>
        <sz val="12"/>
        <rFont val="Calibri"/>
        <family val="2"/>
      </rPr>
      <t xml:space="preserve">Q: </t>
    </r>
    <r>
      <rPr>
        <sz val="12"/>
        <rFont val="Calibri"/>
        <family val="2"/>
      </rPr>
      <t>Annual volume of wastewater (m</t>
    </r>
    <r>
      <rPr>
        <vertAlign val="superscript"/>
        <sz val="12"/>
        <rFont val="Calibri"/>
        <family val="2"/>
      </rPr>
      <t>3</t>
    </r>
    <r>
      <rPr>
        <sz val="12"/>
        <rFont val="Calibri"/>
        <family val="2"/>
      </rPr>
      <t>)</t>
    </r>
  </si>
  <si>
    <r>
      <t>BOD</t>
    </r>
    <r>
      <rPr>
        <b/>
        <vertAlign val="subscript"/>
        <sz val="12"/>
        <rFont val="Calibri"/>
        <family val="2"/>
      </rPr>
      <t>5qave</t>
    </r>
    <r>
      <rPr>
        <b/>
        <sz val="12"/>
        <rFont val="Calibri"/>
        <family val="2"/>
      </rPr>
      <t xml:space="preserve">: </t>
    </r>
    <r>
      <rPr>
        <sz val="12"/>
        <rFont val="Calibri"/>
        <family val="2"/>
      </rPr>
      <t>Average of quaterly determinations of 5-day BOD of the wastewater (i.e., prior to treatment, kg/m</t>
    </r>
    <r>
      <rPr>
        <vertAlign val="superscript"/>
        <sz val="12"/>
        <rFont val="Calibri"/>
        <family val="2"/>
      </rPr>
      <t>3</t>
    </r>
    <r>
      <rPr>
        <sz val="12"/>
        <rFont val="Calibri"/>
        <family val="2"/>
      </rPr>
      <t>)</t>
    </r>
  </si>
  <si>
    <r>
      <rPr>
        <b/>
        <sz val="12"/>
        <rFont val="Calibri"/>
        <family val="2"/>
      </rPr>
      <t xml:space="preserve">B: </t>
    </r>
    <r>
      <rPr>
        <sz val="12"/>
        <rFont val="Calibri"/>
        <family val="2"/>
      </rPr>
      <t>Methane generation capacity (kg CH</t>
    </r>
    <r>
      <rPr>
        <vertAlign val="subscript"/>
        <sz val="12"/>
        <rFont val="Calibri"/>
        <family val="2"/>
      </rPr>
      <t>4</t>
    </r>
    <r>
      <rPr>
        <sz val="12"/>
        <rFont val="Calibri"/>
        <family val="2"/>
      </rPr>
      <t>/kg BOD</t>
    </r>
    <r>
      <rPr>
        <vertAlign val="subscript"/>
        <sz val="12"/>
        <rFont val="Calibri"/>
        <family val="2"/>
      </rPr>
      <t>5</t>
    </r>
    <r>
      <rPr>
        <sz val="12"/>
        <rFont val="Calibri"/>
        <family val="2"/>
      </rPr>
      <t>)</t>
    </r>
  </si>
  <si>
    <r>
      <rPr>
        <b/>
        <sz val="12"/>
        <rFont val="Calibri"/>
        <family val="2"/>
      </rPr>
      <t>MCF:</t>
    </r>
    <r>
      <rPr>
        <sz val="12"/>
        <rFont val="Calibri"/>
        <family val="2"/>
      </rPr>
      <t xml:space="preserve"> Methane correction factor (see table)</t>
    </r>
  </si>
  <si>
    <r>
      <rPr>
        <b/>
        <sz val="12"/>
        <rFont val="Calibri"/>
        <family val="2"/>
      </rPr>
      <t>10</t>
    </r>
    <r>
      <rPr>
        <b/>
        <vertAlign val="superscript"/>
        <sz val="12"/>
        <rFont val="Calibri"/>
        <family val="2"/>
      </rPr>
      <t>-3</t>
    </r>
    <r>
      <rPr>
        <b/>
        <sz val="12"/>
        <rFont val="Calibri"/>
        <family val="2"/>
      </rPr>
      <t>:</t>
    </r>
    <r>
      <rPr>
        <sz val="12"/>
        <rFont val="Calibri"/>
        <family val="2"/>
      </rPr>
      <t xml:space="preserve"> Conversion from kg to metric tonnes</t>
    </r>
  </si>
  <si>
    <r>
      <t xml:space="preserve">C: </t>
    </r>
    <r>
      <rPr>
        <sz val="12"/>
        <rFont val="Calibri"/>
        <family val="2"/>
      </rPr>
      <t>Annual mass of CH</t>
    </r>
    <r>
      <rPr>
        <vertAlign val="subscript"/>
        <sz val="12"/>
        <rFont val="Calibri"/>
        <family val="2"/>
      </rPr>
      <t>4</t>
    </r>
    <r>
      <rPr>
        <sz val="12"/>
        <rFont val="Calibri"/>
        <family val="2"/>
      </rPr>
      <t xml:space="preserve"> collected and not emitted</t>
    </r>
  </si>
  <si>
    <r>
      <t>CH</t>
    </r>
    <r>
      <rPr>
        <b/>
        <vertAlign val="subscript"/>
        <sz val="12"/>
        <rFont val="Calibri"/>
        <family val="2"/>
      </rPr>
      <t>4</t>
    </r>
    <r>
      <rPr>
        <b/>
        <sz val="12"/>
        <rFont val="Calibri"/>
        <family val="2"/>
      </rPr>
      <t xml:space="preserve"> (metric tonnes) = Q x BOD</t>
    </r>
    <r>
      <rPr>
        <b/>
        <vertAlign val="subscript"/>
        <sz val="12"/>
        <rFont val="Calibri"/>
        <family val="2"/>
      </rPr>
      <t>5qave</t>
    </r>
    <r>
      <rPr>
        <b/>
        <sz val="12"/>
        <rFont val="Calibri"/>
        <family val="2"/>
      </rPr>
      <t xml:space="preserve"> x B x MCF x 10</t>
    </r>
    <r>
      <rPr>
        <b/>
        <vertAlign val="superscript"/>
        <sz val="12"/>
        <rFont val="Calibri"/>
        <family val="2"/>
      </rPr>
      <t>-3</t>
    </r>
    <r>
      <rPr>
        <b/>
        <sz val="12"/>
        <rFont val="Calibri"/>
        <family val="2"/>
      </rPr>
      <t xml:space="preserve"> - C</t>
    </r>
  </si>
  <si>
    <r>
      <t>N</t>
    </r>
    <r>
      <rPr>
        <b/>
        <vertAlign val="subscript"/>
        <sz val="12"/>
        <rFont val="Calibri"/>
        <family val="2"/>
      </rPr>
      <t>qave</t>
    </r>
  </si>
  <si>
    <r>
      <t>EF</t>
    </r>
    <r>
      <rPr>
        <b/>
        <vertAlign val="subscript"/>
        <sz val="12"/>
        <rFont val="Calibri"/>
        <family val="2"/>
      </rPr>
      <t>N2O</t>
    </r>
  </si>
  <si>
    <r>
      <t>kg N/m</t>
    </r>
    <r>
      <rPr>
        <b/>
        <vertAlign val="superscript"/>
        <sz val="12"/>
        <rFont val="Calibri"/>
        <family val="2"/>
      </rPr>
      <t>3</t>
    </r>
  </si>
  <si>
    <r>
      <t>kg N</t>
    </r>
    <r>
      <rPr>
        <b/>
        <vertAlign val="subscript"/>
        <sz val="12"/>
        <rFont val="Calibri"/>
        <family val="2"/>
      </rPr>
      <t>2</t>
    </r>
    <r>
      <rPr>
        <b/>
        <sz val="12"/>
        <rFont val="Calibri"/>
        <family val="2"/>
      </rPr>
      <t>O-N/kg N</t>
    </r>
  </si>
  <si>
    <r>
      <t>kg N</t>
    </r>
    <r>
      <rPr>
        <b/>
        <vertAlign val="subscript"/>
        <sz val="12"/>
        <rFont val="Calibri"/>
        <family val="2"/>
      </rPr>
      <t>2</t>
    </r>
    <r>
      <rPr>
        <b/>
        <sz val="12"/>
        <rFont val="Calibri"/>
        <family val="2"/>
      </rPr>
      <t>O-N/kg N</t>
    </r>
    <r>
      <rPr>
        <b/>
        <vertAlign val="subscript"/>
        <sz val="12"/>
        <rFont val="Calibri"/>
        <family val="2"/>
      </rPr>
      <t>2</t>
    </r>
    <r>
      <rPr>
        <b/>
        <sz val="12"/>
        <rFont val="Calibri"/>
        <family val="2"/>
      </rPr>
      <t>O</t>
    </r>
  </si>
  <si>
    <r>
      <t>metric tonnes N</t>
    </r>
    <r>
      <rPr>
        <b/>
        <vertAlign val="subscript"/>
        <sz val="12"/>
        <rFont val="Calibri"/>
        <family val="2"/>
      </rPr>
      <t>2</t>
    </r>
    <r>
      <rPr>
        <b/>
        <sz val="12"/>
        <rFont val="Calibri"/>
        <family val="2"/>
      </rPr>
      <t>O</t>
    </r>
  </si>
  <si>
    <r>
      <t>N</t>
    </r>
    <r>
      <rPr>
        <b/>
        <vertAlign val="subscript"/>
        <sz val="12"/>
        <rFont val="Calibri"/>
        <family val="2"/>
      </rPr>
      <t>qave</t>
    </r>
    <r>
      <rPr>
        <b/>
        <sz val="12"/>
        <rFont val="Calibri"/>
        <family val="2"/>
      </rPr>
      <t xml:space="preserve">: </t>
    </r>
    <r>
      <rPr>
        <sz val="12"/>
        <rFont val="Calibri"/>
        <family val="2"/>
      </rPr>
      <t>Average of quaterly determinations of of N in the effluent (i.e., after wastewater treatment, kg/m</t>
    </r>
    <r>
      <rPr>
        <vertAlign val="superscript"/>
        <sz val="12"/>
        <rFont val="Calibri"/>
        <family val="2"/>
      </rPr>
      <t>3</t>
    </r>
    <r>
      <rPr>
        <sz val="12"/>
        <rFont val="Calibri"/>
        <family val="2"/>
      </rPr>
      <t>)</t>
    </r>
  </si>
  <si>
    <r>
      <rPr>
        <b/>
        <sz val="12"/>
        <rFont val="Calibri"/>
        <family val="2"/>
      </rPr>
      <t>EF</t>
    </r>
    <r>
      <rPr>
        <b/>
        <vertAlign val="subscript"/>
        <sz val="12"/>
        <rFont val="Calibri"/>
        <family val="2"/>
      </rPr>
      <t>N2O</t>
    </r>
    <r>
      <rPr>
        <b/>
        <sz val="12"/>
        <rFont val="Calibri"/>
        <family val="2"/>
      </rPr>
      <t xml:space="preserve">: </t>
    </r>
    <r>
      <rPr>
        <sz val="12"/>
        <rFont val="Calibri"/>
        <family val="2"/>
      </rPr>
      <t>Emission factor for N</t>
    </r>
    <r>
      <rPr>
        <vertAlign val="subscript"/>
        <sz val="12"/>
        <rFont val="Calibri"/>
        <family val="2"/>
      </rPr>
      <t>2</t>
    </r>
    <r>
      <rPr>
        <sz val="12"/>
        <rFont val="Calibri"/>
        <family val="2"/>
      </rPr>
      <t>O (kg N</t>
    </r>
    <r>
      <rPr>
        <vertAlign val="subscript"/>
        <sz val="12"/>
        <rFont val="Calibri"/>
        <family val="2"/>
      </rPr>
      <t>2</t>
    </r>
    <r>
      <rPr>
        <sz val="12"/>
        <rFont val="Calibri"/>
        <family val="2"/>
      </rPr>
      <t>O-N/kg N, default is 0.005 but facility can use its own)</t>
    </r>
  </si>
  <si>
    <r>
      <rPr>
        <b/>
        <sz val="12"/>
        <rFont val="Calibri"/>
        <family val="2"/>
      </rPr>
      <t>CF:</t>
    </r>
    <r>
      <rPr>
        <sz val="12"/>
        <rFont val="Calibri"/>
        <family val="2"/>
      </rPr>
      <t xml:space="preserve"> Conversion factor (kg N</t>
    </r>
    <r>
      <rPr>
        <vertAlign val="subscript"/>
        <sz val="12"/>
        <rFont val="Calibri"/>
        <family val="2"/>
      </rPr>
      <t>2</t>
    </r>
    <r>
      <rPr>
        <sz val="12"/>
        <rFont val="Calibri"/>
        <family val="2"/>
      </rPr>
      <t>O-N/kg N</t>
    </r>
    <r>
      <rPr>
        <vertAlign val="subscript"/>
        <sz val="12"/>
        <rFont val="Calibri"/>
        <family val="2"/>
      </rPr>
      <t>2</t>
    </r>
    <r>
      <rPr>
        <sz val="12"/>
        <rFont val="Calibri"/>
        <family val="2"/>
      </rPr>
      <t>O)</t>
    </r>
  </si>
  <si>
    <r>
      <t>N</t>
    </r>
    <r>
      <rPr>
        <b/>
        <vertAlign val="subscript"/>
        <sz val="12"/>
        <rFont val="Calibri"/>
        <family val="2"/>
      </rPr>
      <t>2</t>
    </r>
    <r>
      <rPr>
        <b/>
        <sz val="12"/>
        <rFont val="Calibri"/>
        <family val="2"/>
      </rPr>
      <t>O (metric tonnes) = Q x N</t>
    </r>
    <r>
      <rPr>
        <b/>
        <vertAlign val="subscript"/>
        <sz val="12"/>
        <rFont val="Calibri"/>
        <family val="2"/>
      </rPr>
      <t>qave</t>
    </r>
    <r>
      <rPr>
        <b/>
        <sz val="12"/>
        <rFont val="Calibri"/>
        <family val="2"/>
      </rPr>
      <t xml:space="preserve"> x EF</t>
    </r>
    <r>
      <rPr>
        <b/>
        <vertAlign val="subscript"/>
        <sz val="12"/>
        <rFont val="Calibri"/>
        <family val="2"/>
      </rPr>
      <t>N2O</t>
    </r>
    <r>
      <rPr>
        <b/>
        <sz val="12"/>
        <rFont val="Calibri"/>
        <family val="2"/>
      </rPr>
      <t xml:space="preserve"> x CF x 10</t>
    </r>
    <r>
      <rPr>
        <b/>
        <vertAlign val="superscript"/>
        <sz val="12"/>
        <rFont val="Calibri"/>
        <family val="2"/>
      </rPr>
      <t>-3</t>
    </r>
  </si>
  <si>
    <r>
      <t>Estimated Direct Emissions [metric tonnes CH</t>
    </r>
    <r>
      <rPr>
        <b/>
        <vertAlign val="subscript"/>
        <sz val="12"/>
        <rFont val="Calibri"/>
        <family val="2"/>
      </rPr>
      <t>4</t>
    </r>
    <r>
      <rPr>
        <b/>
        <sz val="12"/>
        <rFont val="Calibri"/>
        <family val="2"/>
      </rPr>
      <t>]:</t>
    </r>
  </si>
  <si>
    <r>
      <t>Estimated Indirect Emissions [metric tonnes CH</t>
    </r>
    <r>
      <rPr>
        <b/>
        <vertAlign val="subscript"/>
        <sz val="12"/>
        <rFont val="Calibri"/>
        <family val="2"/>
      </rPr>
      <t>4</t>
    </r>
    <r>
      <rPr>
        <b/>
        <sz val="12"/>
        <rFont val="Calibri"/>
        <family val="2"/>
      </rPr>
      <t>]:</t>
    </r>
  </si>
  <si>
    <t>This worksheet can be used to calculate landfill emissions.</t>
  </si>
  <si>
    <t xml:space="preserve">Method 1 - For landfills with low permeability caps and effective gas recovery systems </t>
  </si>
  <si>
    <r>
      <t>Direct</t>
    </r>
    <r>
      <rPr>
        <sz val="12"/>
        <rFont val="Calibri"/>
        <family val="2"/>
      </rPr>
      <t xml:space="preserve">
Methane emissions in metric tonnes</t>
    </r>
  </si>
  <si>
    <r>
      <t>Indirect</t>
    </r>
    <r>
      <rPr>
        <sz val="12"/>
        <rFont val="Calibri"/>
        <family val="2"/>
      </rPr>
      <t xml:space="preserve">
Methane emissions in metric tonnes</t>
    </r>
  </si>
  <si>
    <r>
      <t xml:space="preserve">Method 2 is applicable to landfills where the </t>
    </r>
    <r>
      <rPr>
        <sz val="14"/>
        <color indexed="10"/>
        <rFont val="Calibri"/>
        <family val="2"/>
      </rPr>
      <t>amounts of waste deposited are reasonably constant from year-to-year</t>
    </r>
    <r>
      <rPr>
        <sz val="14"/>
        <rFont val="Calibri"/>
        <family val="2"/>
      </rPr>
      <t xml:space="preserve"> and the </t>
    </r>
    <r>
      <rPr>
        <sz val="14"/>
        <color indexed="10"/>
        <rFont val="Calibri"/>
        <family val="2"/>
      </rPr>
      <t>landfill design has not been changed in ways that would substantially alter landfill gas releases</t>
    </r>
    <r>
      <rPr>
        <sz val="14"/>
        <rFont val="Calibri"/>
        <family val="2"/>
      </rPr>
      <t>.</t>
    </r>
  </si>
  <si>
    <r>
      <rPr>
        <sz val="14"/>
        <rFont val="Calibri"/>
        <family val="2"/>
      </rPr>
      <t xml:space="preserve">Method 1 is applicable to landfills </t>
    </r>
    <r>
      <rPr>
        <sz val="14"/>
        <color indexed="10"/>
        <rFont val="Calibri"/>
        <family val="2"/>
      </rPr>
      <t>where the quantity of gas collected is measured.</t>
    </r>
  </si>
  <si>
    <t>Ultimate Methane Potential, Lo, in
cubic meters methane per dry metric ton waste
[default for mill waste = 100 m3/wet Mg]</t>
  </si>
  <si>
    <t>Annual waste deposits
[Wet metric tons / year]</t>
  </si>
  <si>
    <r>
      <t xml:space="preserve">Method 3 is applicable to landfills where the </t>
    </r>
    <r>
      <rPr>
        <sz val="14"/>
        <color indexed="10"/>
        <rFont val="Calibri"/>
        <family val="2"/>
      </rPr>
      <t>amounts of waste deposited vary substantially from year-to-year</t>
    </r>
    <r>
      <rPr>
        <sz val="14"/>
        <rFont val="Calibri"/>
        <family val="2"/>
      </rPr>
      <t xml:space="preserve">  and the </t>
    </r>
    <r>
      <rPr>
        <sz val="14"/>
        <color indexed="10"/>
        <rFont val="Calibri"/>
        <family val="2"/>
      </rPr>
      <t>landfill design has changed in ways that would substantially alter landfill gas releases</t>
    </r>
    <r>
      <rPr>
        <sz val="14"/>
        <rFont val="Calibri"/>
        <family val="2"/>
      </rPr>
      <t>.
This table for Method 3 can only estimate emissions from a single landfill.  If emissions from multiple landfills are to be estimated, make a separate copy of this Excel worksheet for each additional landfill to be considered.  In this case, the user will have to manually sum all landfill emission estimates and enter this value in the appropriate cell of the "Summary Table" worksheet.</t>
    </r>
  </si>
  <si>
    <t>Quantity Placed
[Wet metric tons]</t>
  </si>
  <si>
    <r>
      <t>Ultimate Methane Potential, Lo, 
[default for mill waste
Lo =100m</t>
    </r>
    <r>
      <rPr>
        <vertAlign val="superscript"/>
        <sz val="12"/>
        <rFont val="Calibri"/>
        <family val="2"/>
      </rPr>
      <t>3</t>
    </r>
    <r>
      <rPr>
        <sz val="12"/>
        <rFont val="Calibri"/>
        <family val="2"/>
      </rPr>
      <t>/wet Mg]</t>
    </r>
  </si>
  <si>
    <r>
      <t>CO</t>
    </r>
    <r>
      <rPr>
        <b/>
        <vertAlign val="subscript"/>
        <sz val="12"/>
        <rFont val="Calibri"/>
        <family val="2"/>
      </rPr>
      <t xml:space="preserve">2
</t>
    </r>
    <r>
      <rPr>
        <b/>
        <sz val="12"/>
        <rFont val="Calibri"/>
        <family val="2"/>
      </rPr>
      <t>(metric tonnes)</t>
    </r>
  </si>
  <si>
    <r>
      <t>CH</t>
    </r>
    <r>
      <rPr>
        <b/>
        <vertAlign val="subscript"/>
        <sz val="12"/>
        <rFont val="Calibri"/>
        <family val="2"/>
      </rPr>
      <t xml:space="preserve">4
</t>
    </r>
    <r>
      <rPr>
        <b/>
        <sz val="12"/>
        <rFont val="Calibri"/>
        <family val="2"/>
      </rPr>
      <t>(metric tonnes)</t>
    </r>
  </si>
  <si>
    <r>
      <t>N</t>
    </r>
    <r>
      <rPr>
        <b/>
        <vertAlign val="subscript"/>
        <sz val="12"/>
        <rFont val="Calibri"/>
        <family val="2"/>
      </rPr>
      <t>2</t>
    </r>
    <r>
      <rPr>
        <b/>
        <sz val="12"/>
        <rFont val="Calibri"/>
        <family val="2"/>
      </rPr>
      <t>O
(metric tonnes)</t>
    </r>
  </si>
  <si>
    <r>
      <t>CO</t>
    </r>
    <r>
      <rPr>
        <b/>
        <vertAlign val="subscript"/>
        <sz val="12"/>
        <rFont val="Calibri"/>
        <family val="2"/>
      </rPr>
      <t>2</t>
    </r>
    <r>
      <rPr>
        <b/>
        <sz val="12"/>
        <rFont val="Calibri"/>
        <family val="2"/>
      </rPr>
      <t>-equiv
(metric tonnes)</t>
    </r>
  </si>
  <si>
    <r>
      <t>Imports and Exports of Fossil Fuel CO</t>
    </r>
    <r>
      <rPr>
        <b/>
        <vertAlign val="subscript"/>
        <sz val="16"/>
        <rFont val="Calibri"/>
        <family val="2"/>
      </rPr>
      <t>2</t>
    </r>
  </si>
  <si>
    <t>Imports</t>
  </si>
  <si>
    <r>
      <t>Total fossil CO</t>
    </r>
    <r>
      <rPr>
        <vertAlign val="subscript"/>
        <sz val="12"/>
        <rFont val="Calibri"/>
        <family val="2"/>
      </rPr>
      <t>2</t>
    </r>
    <r>
      <rPr>
        <sz val="12"/>
        <rFont val="Calibri"/>
        <family val="2"/>
      </rPr>
      <t xml:space="preserve"> imported</t>
    </r>
  </si>
  <si>
    <r>
      <t>For instance CO</t>
    </r>
    <r>
      <rPr>
        <i/>
        <vertAlign val="subscript"/>
        <sz val="12"/>
        <rFont val="Calibri"/>
        <family val="2"/>
      </rPr>
      <t>2</t>
    </r>
    <r>
      <rPr>
        <i/>
        <sz val="12"/>
        <rFont val="Calibri"/>
        <family val="2"/>
      </rPr>
      <t xml:space="preserve"> used for neutralization.</t>
    </r>
  </si>
  <si>
    <t>Exports to satellite precipitated calcium carbonate plants</t>
  </si>
  <si>
    <t>*Amounts released by the mill rather than exported to the PCC plant should be shown on the "Direct - fuel combust." worksheet</t>
  </si>
  <si>
    <r>
      <t>This worksheet can be used to calculate/report fossil fuel CO</t>
    </r>
    <r>
      <rPr>
        <i/>
        <vertAlign val="subscript"/>
        <sz val="14"/>
        <rFont val="Calibri"/>
        <family val="2"/>
      </rPr>
      <t>2</t>
    </r>
    <r>
      <rPr>
        <i/>
        <sz val="14"/>
        <rFont val="Calibri"/>
        <family val="2"/>
      </rPr>
      <t xml:space="preserve"> imported and exported.</t>
    </r>
  </si>
  <si>
    <r>
      <t>Total CO</t>
    </r>
    <r>
      <rPr>
        <vertAlign val="subscript"/>
        <sz val="12"/>
        <rFont val="Calibri"/>
        <family val="2"/>
      </rPr>
      <t>2</t>
    </r>
    <r>
      <rPr>
        <sz val="12"/>
        <rFont val="Calibri"/>
        <family val="2"/>
      </rPr>
      <t xml:space="preserve"> generated by burning fossil fuel in the combustion unit supplying the PCC plant</t>
    </r>
  </si>
  <si>
    <r>
      <t>Fossil CO</t>
    </r>
    <r>
      <rPr>
        <vertAlign val="subscript"/>
        <sz val="12"/>
        <rFont val="Calibri"/>
        <family val="2"/>
      </rPr>
      <t>2</t>
    </r>
    <r>
      <rPr>
        <sz val="12"/>
        <rFont val="Calibri"/>
        <family val="2"/>
      </rPr>
      <t xml:space="preserve"> Exports to PCC plant</t>
    </r>
  </si>
  <si>
    <r>
      <t>[metric tons CO</t>
    </r>
    <r>
      <rPr>
        <vertAlign val="subscript"/>
        <sz val="10"/>
        <rFont val="Arial"/>
        <family val="2"/>
      </rPr>
      <t>2</t>
    </r>
    <r>
      <rPr>
        <sz val="10"/>
        <rFont val="Arial"/>
        <family val="0"/>
      </rPr>
      <t xml:space="preserve"> per year]</t>
    </r>
  </si>
  <si>
    <t xml:space="preserve">Fraction of the gas from this source that is sent to the PCC plant over a year's time* </t>
  </si>
  <si>
    <r>
      <t>Fossil CO</t>
    </r>
    <r>
      <rPr>
        <vertAlign val="subscript"/>
        <sz val="12"/>
        <rFont val="Calibri"/>
        <family val="2"/>
      </rPr>
      <t>2</t>
    </r>
    <r>
      <rPr>
        <sz val="12"/>
        <rFont val="Calibri"/>
        <family val="2"/>
      </rPr>
      <t xml:space="preserve"> Exports to PCC Plants
[metric tons CO</t>
    </r>
    <r>
      <rPr>
        <vertAlign val="subscript"/>
        <sz val="12"/>
        <rFont val="Calibri"/>
        <family val="2"/>
      </rPr>
      <t xml:space="preserve">2 </t>
    </r>
    <r>
      <rPr>
        <sz val="12"/>
        <rFont val="Calibri"/>
        <family val="2"/>
      </rPr>
      <t>-equiv. / year ]</t>
    </r>
  </si>
  <si>
    <r>
      <t>Fossil CO</t>
    </r>
    <r>
      <rPr>
        <vertAlign val="subscript"/>
        <sz val="12"/>
        <rFont val="Calibri"/>
        <family val="2"/>
      </rPr>
      <t>2</t>
    </r>
    <r>
      <rPr>
        <sz val="12"/>
        <rFont val="Calibri"/>
        <family val="2"/>
      </rPr>
      <t xml:space="preserve"> imports
[metric tons CO</t>
    </r>
    <r>
      <rPr>
        <vertAlign val="subscript"/>
        <sz val="12"/>
        <rFont val="Calibri"/>
        <family val="2"/>
      </rPr>
      <t xml:space="preserve">2 </t>
    </r>
    <r>
      <rPr>
        <sz val="12"/>
        <rFont val="Calibri"/>
        <family val="2"/>
      </rPr>
      <t>-equiv. / year ]</t>
    </r>
  </si>
  <si>
    <t>Additional information on biomass is presented in the "Supporting Info. on Biomass" worksheet.</t>
  </si>
  <si>
    <r>
      <t>Where CO</t>
    </r>
    <r>
      <rPr>
        <vertAlign val="subscript"/>
        <sz val="12"/>
        <rFont val="Calibri"/>
        <family val="2"/>
      </rPr>
      <t>2</t>
    </r>
    <r>
      <rPr>
        <sz val="12"/>
        <rFont val="Calibri"/>
        <family val="2"/>
      </rPr>
      <t xml:space="preserve"> exports consist of gases from a fossil fuel fired lime kiln or calciner, the exports of fossil fuel-derived CO</t>
    </r>
    <r>
      <rPr>
        <vertAlign val="subscript"/>
        <sz val="12"/>
        <rFont val="Calibri"/>
        <family val="2"/>
      </rPr>
      <t>2</t>
    </r>
    <r>
      <rPr>
        <sz val="12"/>
        <rFont val="Calibri"/>
        <family val="2"/>
      </rPr>
      <t xml:space="preserve"> shown in the GHG inventory results will be accompanied by exports of climate-neutral biomass-derived CO2.  As a general approximation, the amounts of biomass-derived CO</t>
    </r>
    <r>
      <rPr>
        <vertAlign val="subscript"/>
        <sz val="12"/>
        <rFont val="Calibri"/>
        <family val="2"/>
      </rPr>
      <t>2</t>
    </r>
    <r>
      <rPr>
        <sz val="12"/>
        <rFont val="Calibri"/>
        <family val="2"/>
      </rPr>
      <t xml:space="preserve"> will be twice the exports of fossil fuel-derived CO</t>
    </r>
    <r>
      <rPr>
        <vertAlign val="subscript"/>
        <sz val="12"/>
        <rFont val="Calibri"/>
        <family val="2"/>
      </rPr>
      <t>2</t>
    </r>
    <r>
      <rPr>
        <sz val="12"/>
        <rFont val="Calibri"/>
        <family val="2"/>
      </rPr>
      <t xml:space="preserve"> (Miner, R. and Upton, B.  2002.  Methods for estimating greenhouse gas emissions from lime kilns at kraft pulp mills.  </t>
    </r>
    <r>
      <rPr>
        <i/>
        <sz val="12"/>
        <rFont val="Calibri"/>
        <family val="2"/>
      </rPr>
      <t>Energy</t>
    </r>
    <r>
      <rPr>
        <sz val="12"/>
        <rFont val="Calibri"/>
        <family val="2"/>
      </rPr>
      <t xml:space="preserve">, Volume 27 No. 8, pp. 729-738 (Sept. 2002).)  </t>
    </r>
  </si>
  <si>
    <r>
      <t>Combustion-Related Releases of Biomass-Derived CO</t>
    </r>
    <r>
      <rPr>
        <b/>
        <vertAlign val="subscript"/>
        <sz val="14"/>
        <rFont val="Calibri"/>
        <family val="2"/>
      </rPr>
      <t>2</t>
    </r>
  </si>
  <si>
    <r>
      <t>Non-Biomass CO</t>
    </r>
    <r>
      <rPr>
        <b/>
        <vertAlign val="subscript"/>
        <sz val="14"/>
        <rFont val="Calibri"/>
        <family val="2"/>
      </rPr>
      <t xml:space="preserve">2 </t>
    </r>
    <r>
      <rPr>
        <b/>
        <sz val="14"/>
        <rFont val="Calibri"/>
        <family val="2"/>
      </rPr>
      <t>GHGs</t>
    </r>
  </si>
  <si>
    <t>Combined heat and power: Allocating emissions based on the efficiency of heat and power production</t>
  </si>
  <si>
    <t>This worksheet can be used to allocate emissions between heat and power.</t>
  </si>
  <si>
    <t>Combined heat and power:  Allocating emissions based on the efficiency of heat and power production</t>
  </si>
  <si>
    <r>
      <t xml:space="preserve">Simplified Efficiency Method: </t>
    </r>
    <r>
      <rPr>
        <b/>
        <sz val="12"/>
        <color indexed="10"/>
        <rFont val="Calibri"/>
        <family val="2"/>
      </rPr>
      <t>Allocation based on assumed efficiencies for both steam and power production and total CHP emissions</t>
    </r>
  </si>
  <si>
    <r>
      <t>E</t>
    </r>
    <r>
      <rPr>
        <vertAlign val="subscript"/>
        <sz val="12"/>
        <rFont val="Calibri"/>
        <family val="2"/>
      </rPr>
      <t>T</t>
    </r>
    <r>
      <rPr>
        <sz val="12"/>
        <rFont val="Calibri"/>
        <family val="2"/>
      </rPr>
      <t xml:space="preserve">  Total direct emissions from CHP facility</t>
    </r>
  </si>
  <si>
    <r>
      <t>Allowed input values for ratio of heat production efficiency to power production efficiency, e</t>
    </r>
    <r>
      <rPr>
        <vertAlign val="subscript"/>
        <sz val="12"/>
        <rFont val="Calibri"/>
        <family val="2"/>
      </rPr>
      <t>h</t>
    </r>
    <r>
      <rPr>
        <sz val="12"/>
        <rFont val="Calibri"/>
        <family val="2"/>
      </rPr>
      <t>/e</t>
    </r>
    <r>
      <rPr>
        <vertAlign val="subscript"/>
        <sz val="12"/>
        <rFont val="Calibri"/>
        <family val="2"/>
      </rPr>
      <t>p</t>
    </r>
  </si>
  <si>
    <r>
      <t>e</t>
    </r>
    <r>
      <rPr>
        <vertAlign val="subscript"/>
        <sz val="12"/>
        <rFont val="Calibri"/>
        <family val="2"/>
      </rPr>
      <t>p</t>
    </r>
    <r>
      <rPr>
        <sz val="12"/>
        <rFont val="Calibri"/>
        <family val="2"/>
      </rPr>
      <t xml:space="preserve">  (efficiency of typical power production)</t>
    </r>
  </si>
  <si>
    <r>
      <t>e</t>
    </r>
    <r>
      <rPr>
        <vertAlign val="subscript"/>
        <sz val="12"/>
        <rFont val="Calibri"/>
        <family val="2"/>
      </rPr>
      <t>h</t>
    </r>
    <r>
      <rPr>
        <sz val="12"/>
        <rFont val="Calibri"/>
        <family val="2"/>
      </rPr>
      <t xml:space="preserve">  (efficiency of typical heat production)</t>
    </r>
  </si>
  <si>
    <r>
      <t>E</t>
    </r>
    <r>
      <rPr>
        <vertAlign val="subscript"/>
        <sz val="12"/>
        <rFont val="Calibri"/>
        <family val="2"/>
      </rPr>
      <t>H</t>
    </r>
    <r>
      <rPr>
        <sz val="12"/>
        <rFont val="Calibri"/>
        <family val="2"/>
      </rPr>
      <t xml:space="preserve">  Emissions share allocated to heat production</t>
    </r>
  </si>
  <si>
    <r>
      <t>E</t>
    </r>
    <r>
      <rPr>
        <vertAlign val="subscript"/>
        <sz val="12"/>
        <rFont val="Calibri"/>
        <family val="2"/>
      </rPr>
      <t>P</t>
    </r>
    <r>
      <rPr>
        <sz val="12"/>
        <rFont val="Calibri"/>
        <family val="2"/>
      </rPr>
      <t xml:space="preserve">  Emissions share allocated to electricity production</t>
    </r>
  </si>
  <si>
    <r>
      <t>Use methods outlined in "Direct - Fuel Combust."
Each GHG must be allocated individually (e.g., use a separate row for CO</t>
    </r>
    <r>
      <rPr>
        <vertAlign val="subscript"/>
        <sz val="12"/>
        <rFont val="Calibri"/>
        <family val="2"/>
      </rPr>
      <t>2</t>
    </r>
    <r>
      <rPr>
        <sz val="12"/>
        <rFont val="Calibri"/>
        <family val="2"/>
      </rPr>
      <t>, for CH</t>
    </r>
    <r>
      <rPr>
        <vertAlign val="subscript"/>
        <sz val="12"/>
        <rFont val="Calibri"/>
        <family val="2"/>
      </rPr>
      <t>4</t>
    </r>
    <r>
      <rPr>
        <sz val="12"/>
        <rFont val="Calibri"/>
        <family val="2"/>
      </rPr>
      <t>, and for N</t>
    </r>
    <r>
      <rPr>
        <vertAlign val="subscript"/>
        <sz val="12"/>
        <rFont val="Calibri"/>
        <family val="2"/>
      </rPr>
      <t>2</t>
    </r>
    <r>
      <rPr>
        <sz val="12"/>
        <rFont val="Calibri"/>
        <family val="2"/>
      </rPr>
      <t>O)</t>
    </r>
  </si>
  <si>
    <r>
      <t>e</t>
    </r>
    <r>
      <rPr>
        <vertAlign val="subscript"/>
        <sz val="12"/>
        <rFont val="Calibri"/>
        <family val="2"/>
      </rPr>
      <t>h</t>
    </r>
    <r>
      <rPr>
        <sz val="12"/>
        <rFont val="Calibri"/>
        <family val="2"/>
      </rPr>
      <t>/e</t>
    </r>
    <r>
      <rPr>
        <vertAlign val="subscript"/>
        <sz val="12"/>
        <rFont val="Calibri"/>
        <family val="2"/>
      </rPr>
      <t>p</t>
    </r>
  </si>
  <si>
    <r>
      <t>CO</t>
    </r>
    <r>
      <rPr>
        <b/>
        <vertAlign val="subscript"/>
        <sz val="12"/>
        <rFont val="Calibri"/>
        <family val="2"/>
      </rPr>
      <t>2</t>
    </r>
  </si>
  <si>
    <r>
      <t>CH</t>
    </r>
    <r>
      <rPr>
        <b/>
        <vertAlign val="subscript"/>
        <sz val="12"/>
        <rFont val="Calibri"/>
        <family val="2"/>
      </rPr>
      <t>4</t>
    </r>
  </si>
  <si>
    <r>
      <t>N</t>
    </r>
    <r>
      <rPr>
        <b/>
        <vertAlign val="subscript"/>
        <sz val="12"/>
        <rFont val="Calibri"/>
        <family val="2"/>
      </rPr>
      <t>2</t>
    </r>
    <r>
      <rPr>
        <b/>
        <sz val="12"/>
        <rFont val="Calibri"/>
        <family val="2"/>
      </rPr>
      <t>O</t>
    </r>
  </si>
  <si>
    <r>
      <t>m</t>
    </r>
    <r>
      <rPr>
        <vertAlign val="superscript"/>
        <sz val="12"/>
        <rFont val="Calibri"/>
        <family val="2"/>
      </rPr>
      <t>3</t>
    </r>
  </si>
  <si>
    <t>Emissions Factors Listed in the GHGRP</t>
  </si>
  <si>
    <r>
      <t xml:space="preserve">1 cubic foot (ft </t>
    </r>
    <r>
      <rPr>
        <vertAlign val="superscript"/>
        <sz val="12"/>
        <rFont val="Calibri"/>
        <family val="2"/>
      </rPr>
      <t>3</t>
    </r>
    <r>
      <rPr>
        <sz val="12"/>
        <rFont val="Calibri"/>
        <family val="2"/>
      </rPr>
      <t>)</t>
    </r>
  </si>
  <si>
    <r>
      <t xml:space="preserve">0.02832 cubic meters (m </t>
    </r>
    <r>
      <rPr>
        <vertAlign val="superscript"/>
        <sz val="12"/>
        <rFont val="Calibri"/>
        <family val="2"/>
      </rPr>
      <t>3</t>
    </r>
    <r>
      <rPr>
        <sz val="12"/>
        <rFont val="Calibri"/>
        <family val="2"/>
      </rPr>
      <t>)</t>
    </r>
  </si>
  <si>
    <r>
      <t xml:space="preserve">0.003785 cubic meters (m </t>
    </r>
    <r>
      <rPr>
        <vertAlign val="superscript"/>
        <sz val="12"/>
        <rFont val="Calibri"/>
        <family val="2"/>
      </rPr>
      <t>3</t>
    </r>
    <r>
      <rPr>
        <sz val="12"/>
        <rFont val="Calibri"/>
        <family val="2"/>
      </rPr>
      <t>)</t>
    </r>
  </si>
  <si>
    <r>
      <t xml:space="preserve">0.1589 cubic meters (m </t>
    </r>
    <r>
      <rPr>
        <vertAlign val="superscript"/>
        <sz val="12"/>
        <rFont val="Calibri"/>
        <family val="2"/>
      </rPr>
      <t>3</t>
    </r>
    <r>
      <rPr>
        <sz val="12"/>
        <rFont val="Calibri"/>
        <family val="2"/>
      </rPr>
      <t>)</t>
    </r>
  </si>
  <si>
    <r>
      <t xml:space="preserve">0.001 cubic meters (m </t>
    </r>
    <r>
      <rPr>
        <vertAlign val="superscript"/>
        <sz val="12"/>
        <rFont val="Calibri"/>
        <family val="2"/>
      </rPr>
      <t>3</t>
    </r>
    <r>
      <rPr>
        <sz val="12"/>
        <rFont val="Calibri"/>
        <family val="2"/>
      </rPr>
      <t>)</t>
    </r>
  </si>
  <si>
    <r>
      <t xml:space="preserve">1 cubic meter (m </t>
    </r>
    <r>
      <rPr>
        <vertAlign val="superscript"/>
        <sz val="12"/>
        <rFont val="Calibri"/>
        <family val="2"/>
      </rPr>
      <t>3</t>
    </r>
    <r>
      <rPr>
        <sz val="12"/>
        <rFont val="Calibri"/>
        <family val="2"/>
      </rPr>
      <t>)</t>
    </r>
  </si>
  <si>
    <r>
      <t xml:space="preserve">1 kgf / cm </t>
    </r>
    <r>
      <rPr>
        <vertAlign val="superscript"/>
        <sz val="12"/>
        <rFont val="Calibri"/>
        <family val="2"/>
      </rPr>
      <t>3</t>
    </r>
    <r>
      <rPr>
        <sz val="12"/>
        <rFont val="Calibri"/>
        <family val="2"/>
      </rPr>
      <t xml:space="preserve"> (tech atm)</t>
    </r>
  </si>
  <si>
    <r>
      <t>1 metric tonne CH</t>
    </r>
    <r>
      <rPr>
        <vertAlign val="subscript"/>
        <sz val="12"/>
        <rFont val="Calibri"/>
        <family val="2"/>
      </rPr>
      <t>4</t>
    </r>
  </si>
  <si>
    <r>
      <t>21 metric tonnes CO</t>
    </r>
    <r>
      <rPr>
        <vertAlign val="subscript"/>
        <sz val="12"/>
        <rFont val="Calibri"/>
        <family val="2"/>
      </rPr>
      <t>2</t>
    </r>
    <r>
      <rPr>
        <sz val="12"/>
        <rFont val="Calibri"/>
        <family val="2"/>
      </rPr>
      <t xml:space="preserve"> equivalent</t>
    </r>
  </si>
  <si>
    <r>
      <t>1metric  tonne N</t>
    </r>
    <r>
      <rPr>
        <vertAlign val="subscript"/>
        <sz val="12"/>
        <rFont val="Calibri"/>
        <family val="2"/>
      </rPr>
      <t>2</t>
    </r>
    <r>
      <rPr>
        <sz val="12"/>
        <rFont val="Calibri"/>
        <family val="2"/>
      </rPr>
      <t>O</t>
    </r>
  </si>
  <si>
    <r>
      <t>310 metric tonnes CO</t>
    </r>
    <r>
      <rPr>
        <vertAlign val="subscript"/>
        <sz val="12"/>
        <rFont val="Calibri"/>
        <family val="2"/>
      </rPr>
      <t>2</t>
    </r>
    <r>
      <rPr>
        <sz val="12"/>
        <rFont val="Calibri"/>
        <family val="2"/>
      </rPr>
      <t xml:space="preserve"> equivalent</t>
    </r>
  </si>
  <si>
    <r>
      <t>3.664 metric tonnes CO</t>
    </r>
    <r>
      <rPr>
        <vertAlign val="subscript"/>
        <sz val="12"/>
        <rFont val="Calibri"/>
        <family val="2"/>
      </rPr>
      <t>2</t>
    </r>
  </si>
  <si>
    <t>Carbon content provided</t>
  </si>
  <si>
    <t>HHV Provided</t>
  </si>
  <si>
    <t>This worksheet lists the emission factors recommended under the GHGRP*.</t>
  </si>
  <si>
    <t>Efs recommended under the GHG Reporting Program are listed in the "EFs_GHGRP" tab.</t>
  </si>
  <si>
    <t>*2020. Environment and Climate Change Canada. Canada's Greenhouse Gas Quantification Requirements. Version 3.0. http://publications.gc.ca/collections/collection_2020/eccc/En81-28-2019-eng.pdf</t>
  </si>
  <si>
    <t>g/GJ</t>
  </si>
  <si>
    <t>dry tonne</t>
  </si>
  <si>
    <t>tonne</t>
  </si>
  <si>
    <r>
      <t>Total CO</t>
    </r>
    <r>
      <rPr>
        <vertAlign val="subscript"/>
        <sz val="12"/>
        <rFont val="Calibri"/>
        <family val="2"/>
      </rPr>
      <t>2</t>
    </r>
    <r>
      <rPr>
        <sz val="12"/>
        <rFont val="Calibri"/>
        <family val="2"/>
      </rPr>
      <t xml:space="preserve"> from make-up carbonates</t>
    </r>
  </si>
  <si>
    <t>Landfill method 3 updated to better match the IPCC method.</t>
  </si>
  <si>
    <t>Error in HHV calculation for natural gas corrected.</t>
  </si>
  <si>
    <t>K = J * C27</t>
  </si>
  <si>
    <t xml:space="preserve"> kg / cubic meter</t>
  </si>
  <si>
    <t>Version</t>
  </si>
  <si>
    <t>Changes</t>
  </si>
  <si>
    <t>Implementor</t>
  </si>
  <si>
    <t>CG</t>
  </si>
  <si>
    <t>Date</t>
  </si>
  <si>
    <t>4.1a</t>
  </si>
  <si>
    <t>BJM</t>
  </si>
  <si>
    <t>User-defined conversion factor between volume and mass of methane using Method 2 and Method 3, Waste</t>
  </si>
  <si>
    <t>Update methane GWP for Method 3 Waste to use user-defined GWP on the Introduction page</t>
  </si>
  <si>
    <t>Changed contact information to Barry Malmberg</t>
  </si>
  <si>
    <r>
      <t xml:space="preserve">These spreadsheet was developed by NCASI with some material from WRI and WBCSD.  Questions or comments on this material can be directed to:
</t>
    </r>
    <r>
      <rPr>
        <b/>
        <sz val="12"/>
        <rFont val="Calibri"/>
        <family val="2"/>
      </rPr>
      <t xml:space="preserve">Barry Malmberg
</t>
    </r>
    <r>
      <rPr>
        <sz val="12"/>
        <rFont val="Calibri"/>
        <family val="2"/>
      </rPr>
      <t xml:space="preserve">NCASI
PO Box 271
Sheridan, WY 82801
phone: (541) 249-3986 
e-mail:  bmalmberg@ncasi.org </t>
    </r>
  </si>
  <si>
    <t>Workbook Version 4.1a (see below for USER AGREEMENT)</t>
  </si>
  <si>
    <t>G = F * C12 / 1000</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</si>
</sst>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
    <numFmt numFmtId="177" formatCode="_(* #,##0.0_);_(* \(#,##0.0\);_(* &quot;-&quot;??_);_(@_)"/>
    <numFmt numFmtId="178" formatCode="0.00&quot; *&quot;"/>
    <numFmt numFmtId="179" formatCode="###0.00_)"/>
    <numFmt numFmtId="180" formatCode="0.0_W"/>
    <numFmt numFmtId="181" formatCode="#,##0_)"/>
    <numFmt numFmtId="182" formatCode="#,##0.0\ &quot;l/100km&quot;"/>
    <numFmt numFmtId="183" formatCode="#,##0.00000"/>
    <numFmt numFmtId="184" formatCode="0.000000E+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0"/>
    <numFmt numFmtId="191" formatCode="0.00000"/>
    <numFmt numFmtId="192" formatCode="[$-1009]mmmm\ d\,\ yyyy"/>
    <numFmt numFmtId="193" formatCode="[$-409]h:mm:ss\ AM/PM"/>
  </numFmts>
  <fonts count="115">
    <font>
      <sz val="10"/>
      <name val="Arial"/>
      <family val="0"/>
    </font>
    <font>
      <b/>
      <sz val="10"/>
      <name val="Arial"/>
      <family val="2"/>
    </font>
    <font>
      <u val="single"/>
      <sz val="10"/>
      <color indexed="12"/>
      <name val="Arial"/>
      <family val="2"/>
    </font>
    <font>
      <u val="single"/>
      <sz val="10"/>
      <color indexed="36"/>
      <name val="Arial"/>
      <family val="2"/>
    </font>
    <font>
      <sz val="1"/>
      <name val="Arial"/>
      <family val="2"/>
    </font>
    <font>
      <b/>
      <sz val="10"/>
      <color indexed="10"/>
      <name val="Arial"/>
      <family val="2"/>
    </font>
    <font>
      <vertAlign val="subscript"/>
      <sz val="10"/>
      <name val="Arial"/>
      <family val="2"/>
    </font>
    <font>
      <sz val="12"/>
      <name val="Helv"/>
      <family val="0"/>
    </font>
    <font>
      <b/>
      <sz val="12"/>
      <name val="Helv"/>
      <family val="0"/>
    </font>
    <font>
      <sz val="9"/>
      <name val="Helv"/>
      <family val="0"/>
    </font>
    <font>
      <vertAlign val="superscript"/>
      <sz val="12"/>
      <name val="Helv"/>
      <family val="0"/>
    </font>
    <font>
      <sz val="10"/>
      <name val="Helv"/>
      <family val="0"/>
    </font>
    <font>
      <b/>
      <sz val="18"/>
      <name val="Arial"/>
      <family val="2"/>
    </font>
    <font>
      <b/>
      <sz val="12"/>
      <name val="Arial"/>
      <family val="2"/>
    </font>
    <font>
      <b/>
      <sz val="9"/>
      <name val="Helv"/>
      <family val="0"/>
    </font>
    <font>
      <sz val="8.5"/>
      <name val="Helv"/>
      <family val="0"/>
    </font>
    <font>
      <b/>
      <sz val="10"/>
      <name val="Helv"/>
      <family val="0"/>
    </font>
    <font>
      <sz val="8"/>
      <name val="Helv"/>
      <family val="0"/>
    </font>
    <font>
      <b/>
      <sz val="14"/>
      <name val="Helv"/>
      <family val="0"/>
    </font>
    <font>
      <sz val="8"/>
      <name val="Arial"/>
      <family val="2"/>
    </font>
    <font>
      <sz val="10"/>
      <color indexed="10"/>
      <name val="Arial"/>
      <family val="2"/>
    </font>
    <font>
      <sz val="14"/>
      <name val="Calibri"/>
      <family val="2"/>
    </font>
    <font>
      <b/>
      <sz val="12"/>
      <name val="Calibri"/>
      <family val="2"/>
    </font>
    <font>
      <sz val="12"/>
      <name val="Calibri"/>
      <family val="2"/>
    </font>
    <font>
      <vertAlign val="subscript"/>
      <sz val="12"/>
      <name val="Calibri"/>
      <family val="2"/>
    </font>
    <font>
      <b/>
      <u val="single"/>
      <sz val="12"/>
      <name val="Calibri"/>
      <family val="2"/>
    </font>
    <font>
      <vertAlign val="superscript"/>
      <sz val="12"/>
      <name val="Calibri"/>
      <family val="2"/>
    </font>
    <font>
      <sz val="11"/>
      <name val="Calibri"/>
      <family val="2"/>
    </font>
    <font>
      <vertAlign val="subscript"/>
      <sz val="11"/>
      <name val="Calibri"/>
      <family val="2"/>
    </font>
    <font>
      <b/>
      <sz val="12"/>
      <color indexed="10"/>
      <name val="Calibri"/>
      <family val="2"/>
    </font>
    <font>
      <b/>
      <vertAlign val="subscript"/>
      <sz val="12"/>
      <name val="Calibri"/>
      <family val="2"/>
    </font>
    <font>
      <vertAlign val="subscript"/>
      <sz val="14"/>
      <name val="Calibri"/>
      <family val="2"/>
    </font>
    <font>
      <sz val="16"/>
      <color indexed="8"/>
      <name val="Calibri"/>
      <family val="2"/>
    </font>
    <font>
      <b/>
      <vertAlign val="subscript"/>
      <sz val="12"/>
      <color indexed="10"/>
      <name val="Calibri"/>
      <family val="2"/>
    </font>
    <font>
      <i/>
      <sz val="14"/>
      <name val="Calibri"/>
      <family val="2"/>
    </font>
    <font>
      <i/>
      <vertAlign val="subscript"/>
      <sz val="14"/>
      <name val="Calibri"/>
      <family val="2"/>
    </font>
    <font>
      <b/>
      <vertAlign val="superscript"/>
      <sz val="12"/>
      <name val="Calibri"/>
      <family val="2"/>
    </font>
    <font>
      <sz val="14"/>
      <color indexed="10"/>
      <name val="Calibri"/>
      <family val="2"/>
    </font>
    <font>
      <b/>
      <sz val="14"/>
      <name val="Calibri"/>
      <family val="2"/>
    </font>
    <font>
      <b/>
      <vertAlign val="subscript"/>
      <sz val="16"/>
      <name val="Calibri"/>
      <family val="2"/>
    </font>
    <font>
      <i/>
      <sz val="12"/>
      <name val="Calibri"/>
      <family val="2"/>
    </font>
    <font>
      <i/>
      <vertAlign val="subscript"/>
      <sz val="12"/>
      <name val="Calibri"/>
      <family val="2"/>
    </font>
    <font>
      <b/>
      <vertAlign val="subscrip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u val="single"/>
      <sz val="16"/>
      <name val="Calibri"/>
      <family val="2"/>
    </font>
    <font>
      <sz val="16"/>
      <name val="Calibri"/>
      <family val="2"/>
    </font>
    <font>
      <sz val="8"/>
      <name val="Calibri"/>
      <family val="2"/>
    </font>
    <font>
      <sz val="12"/>
      <color indexed="56"/>
      <name val="Calibri"/>
      <family val="2"/>
    </font>
    <font>
      <b/>
      <i/>
      <sz val="12"/>
      <name val="Calibri"/>
      <family val="2"/>
    </font>
    <font>
      <b/>
      <sz val="10"/>
      <name val="Calibri"/>
      <family val="2"/>
    </font>
    <font>
      <b/>
      <sz val="18"/>
      <color indexed="10"/>
      <name val="Calibri"/>
      <family val="2"/>
    </font>
    <font>
      <sz val="10"/>
      <color indexed="47"/>
      <name val="Calibri"/>
      <family val="2"/>
    </font>
    <font>
      <sz val="12"/>
      <color indexed="47"/>
      <name val="Calibri"/>
      <family val="2"/>
    </font>
    <font>
      <b/>
      <sz val="16"/>
      <color indexed="8"/>
      <name val="Calibri"/>
      <family val="2"/>
    </font>
    <font>
      <b/>
      <u val="single"/>
      <sz val="14"/>
      <name val="Calibri"/>
      <family val="2"/>
    </font>
    <font>
      <b/>
      <u val="single"/>
      <sz val="11"/>
      <name val="Calibri"/>
      <family val="2"/>
    </font>
    <font>
      <b/>
      <sz val="11"/>
      <name val="Calibri"/>
      <family val="2"/>
    </font>
    <font>
      <sz val="10"/>
      <color indexed="9"/>
      <name val="Calibri"/>
      <family val="2"/>
    </font>
    <font>
      <b/>
      <sz val="16"/>
      <name val="Calibri"/>
      <family val="2"/>
    </font>
    <font>
      <b/>
      <sz val="12"/>
      <color indexed="9"/>
      <name val="Calibri"/>
      <family val="2"/>
    </font>
    <font>
      <sz val="12"/>
      <color indexed="9"/>
      <name val="Calibri"/>
      <family val="2"/>
    </font>
    <font>
      <sz val="9"/>
      <name val="Calibri"/>
      <family val="2"/>
    </font>
    <font>
      <sz val="9"/>
      <color indexed="18"/>
      <name val="Calibri"/>
      <family val="2"/>
    </font>
    <font>
      <sz val="9"/>
      <color indexed="11"/>
      <name val="Calibri"/>
      <family val="2"/>
    </font>
    <font>
      <b/>
      <sz val="9"/>
      <name val="Calibri"/>
      <family val="2"/>
    </font>
    <font>
      <sz val="9"/>
      <color indexed="8"/>
      <name val="Calibri"/>
      <family val="2"/>
    </font>
    <font>
      <sz val="9"/>
      <color indexed="9"/>
      <name val="Calibri"/>
      <family val="2"/>
    </font>
    <font>
      <b/>
      <i/>
      <sz val="14"/>
      <name val="Calibri"/>
      <family val="2"/>
    </font>
    <font>
      <sz val="12"/>
      <color indexed="8"/>
      <name val="Calibri"/>
      <family val="2"/>
    </font>
    <font>
      <sz val="12"/>
      <color indexed="18"/>
      <name val="Calibri"/>
      <family val="2"/>
    </font>
    <font>
      <b/>
      <sz val="12"/>
      <color indexed="8"/>
      <name val="Calibri"/>
      <family val="2"/>
    </font>
    <font>
      <sz val="12"/>
      <color indexed="11"/>
      <name val="Calibri"/>
      <family val="2"/>
    </font>
    <font>
      <b/>
      <sz val="12"/>
      <color indexed="11"/>
      <name val="Calibri"/>
      <family val="2"/>
    </font>
    <font>
      <u val="single"/>
      <sz val="10"/>
      <name val="Calibri"/>
      <family val="2"/>
    </font>
    <font>
      <sz val="14"/>
      <color indexed="47"/>
      <name val="Calibri"/>
      <family val="2"/>
    </font>
    <font>
      <b/>
      <sz val="18"/>
      <name val="Calibri"/>
      <family val="2"/>
    </font>
    <font>
      <sz val="10"/>
      <color indexed="10"/>
      <name val="Calibri"/>
      <family val="2"/>
    </font>
    <font>
      <b/>
      <u val="single"/>
      <sz val="18"/>
      <name val="Calibri"/>
      <family val="2"/>
    </font>
    <font>
      <sz val="18"/>
      <name val="Calibri"/>
      <family val="2"/>
    </font>
    <font>
      <sz val="14"/>
      <color indexed="8"/>
      <name val="Calibri"/>
      <family val="2"/>
    </font>
    <font>
      <b/>
      <u val="single"/>
      <sz val="16"/>
      <color indexed="5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2"/>
      <color rgb="FF1F497D"/>
      <name val="Calibri"/>
      <family val="2"/>
    </font>
    <font>
      <b/>
      <sz val="16"/>
      <color theme="1"/>
      <name val="Calibri"/>
      <family val="2"/>
    </font>
    <font>
      <b/>
      <sz val="12"/>
      <color rgb="FFFF0000"/>
      <name val="Calibri"/>
      <family val="2"/>
    </font>
    <font>
      <sz val="14"/>
      <color theme="1"/>
      <name val="Calibri"/>
      <family val="2"/>
    </font>
    <font>
      <b/>
      <u val="single"/>
      <sz val="16"/>
      <color rgb="FF85A548"/>
      <name val="Calibri"/>
      <family val="2"/>
    </font>
    <font>
      <b/>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FE9DE"/>
        <bgColor indexed="64"/>
      </patternFill>
    </fill>
    <fill>
      <patternFill patternType="solid">
        <fgColor rgb="FFCEDDB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indexed="24"/>
        <bgColor indexed="64"/>
      </patternFill>
    </fill>
    <fill>
      <patternFill patternType="darkDown">
        <bgColor rgb="FFA5A5A5"/>
      </patternFill>
    </fill>
    <fill>
      <patternFill patternType="solid">
        <fgColor rgb="FF85A54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color indexed="63"/>
      </top>
      <bottom>
        <color indexed="63"/>
      </bottom>
    </border>
    <border>
      <left>
        <color indexed="63"/>
      </left>
      <right>
        <color indexed="63"/>
      </right>
      <top style="thin"/>
      <bottom>
        <color indexed="63"/>
      </bottom>
    </border>
    <border>
      <left style="double"/>
      <right style="thin"/>
      <top style="double"/>
      <bottom style="double"/>
    </border>
    <border>
      <left style="thin"/>
      <right style="double"/>
      <top style="double"/>
      <bottom style="double"/>
    </border>
    <border>
      <left style="double"/>
      <right style="thin"/>
      <top style="double"/>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double"/>
      <top style="thin"/>
      <bottom style="double"/>
    </border>
    <border>
      <left style="thin"/>
      <right style="thin"/>
      <top style="thin"/>
      <bottom>
        <color indexed="63"/>
      </bottom>
    </border>
    <border>
      <left>
        <color indexed="63"/>
      </left>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double"/>
      <right style="thin"/>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0" fontId="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3" fontId="9" fillId="0" borderId="3" applyAlignment="0">
      <protection/>
    </xf>
    <xf numFmtId="181" fontId="9" fillId="0" borderId="3">
      <alignment horizontal="right" vertical="center"/>
      <protection/>
    </xf>
    <xf numFmtId="49" fontId="10" fillId="0" borderId="3">
      <alignment horizontal="left" vertical="center"/>
      <protection/>
    </xf>
    <xf numFmtId="179" fontId="11" fillId="0" borderId="3" applyNumberFormat="0" applyFill="0">
      <alignment horizontal="right"/>
      <protection/>
    </xf>
    <xf numFmtId="180" fontId="11" fillId="0" borderId="3">
      <alignment horizontal="right"/>
      <protection/>
    </xf>
    <xf numFmtId="0" fontId="0" fillId="0" borderId="0" applyFont="0" applyFill="0" applyBorder="0" applyAlignment="0" applyProtection="0"/>
    <xf numFmtId="0" fontId="100"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101"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02" fillId="0" borderId="4" applyNumberFormat="0" applyFill="0" applyAlignment="0" applyProtection="0"/>
    <xf numFmtId="0" fontId="102" fillId="0" borderId="0" applyNumberFormat="0" applyFill="0" applyBorder="0" applyAlignment="0" applyProtection="0"/>
    <xf numFmtId="0" fontId="14" fillId="0" borderId="3">
      <alignment horizontal="left"/>
      <protection/>
    </xf>
    <xf numFmtId="0" fontId="14" fillId="0" borderId="5">
      <alignment horizontal="right" vertical="center"/>
      <protection/>
    </xf>
    <xf numFmtId="0" fontId="15" fillId="0" borderId="3">
      <alignment horizontal="left" vertical="center"/>
      <protection/>
    </xf>
    <xf numFmtId="0" fontId="11" fillId="0" borderId="3">
      <alignment horizontal="left" vertical="center"/>
      <protection/>
    </xf>
    <xf numFmtId="0" fontId="16" fillId="0" borderId="3">
      <alignment horizontal="left"/>
      <protection/>
    </xf>
    <xf numFmtId="0" fontId="16" fillId="30" borderId="0">
      <alignment horizontal="centerContinuous" wrapText="1"/>
      <protection/>
    </xf>
    <xf numFmtId="49" fontId="16" fillId="30" borderId="6">
      <alignment horizontal="left" vertical="center"/>
      <protection/>
    </xf>
    <xf numFmtId="0" fontId="16" fillId="30" borderId="0">
      <alignment horizontal="centerContinuous" vertical="center" wrapText="1"/>
      <protection/>
    </xf>
    <xf numFmtId="0" fontId="2" fillId="0" borderId="0" applyNumberFormat="0" applyFill="0" applyBorder="0" applyAlignment="0" applyProtection="0"/>
    <xf numFmtId="0" fontId="103" fillId="31" borderId="1" applyNumberFormat="0" applyAlignment="0" applyProtection="0"/>
    <xf numFmtId="0" fontId="104" fillId="0" borderId="7"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05" fillId="32" borderId="0" applyNumberFormat="0" applyBorder="0" applyAlignment="0" applyProtection="0"/>
    <xf numFmtId="0" fontId="0" fillId="0" borderId="0">
      <alignment/>
      <protection/>
    </xf>
    <xf numFmtId="0" fontId="0" fillId="33" borderId="8" applyNumberFormat="0" applyFont="0" applyAlignment="0" applyProtection="0"/>
    <xf numFmtId="0" fontId="106" fillId="27" borderId="9" applyNumberFormat="0" applyAlignment="0" applyProtection="0"/>
    <xf numFmtId="9" fontId="0" fillId="0" borderId="0" applyFont="0" applyFill="0" applyBorder="0" applyAlignment="0" applyProtection="0"/>
    <xf numFmtId="3" fontId="9" fillId="0" borderId="0">
      <alignment horizontal="left" vertical="center"/>
      <protection/>
    </xf>
    <xf numFmtId="0" fontId="7" fillId="0" borderId="0">
      <alignment horizontal="left" vertical="center"/>
      <protection/>
    </xf>
    <xf numFmtId="0" fontId="17" fillId="0" borderId="0">
      <alignment horizontal="right"/>
      <protection/>
    </xf>
    <xf numFmtId="49" fontId="17" fillId="0" borderId="0">
      <alignment horizontal="center"/>
      <protection/>
    </xf>
    <xf numFmtId="0" fontId="10" fillId="0" borderId="0">
      <alignment horizontal="right"/>
      <protection/>
    </xf>
    <xf numFmtId="0" fontId="17" fillId="0" borderId="0">
      <alignment horizontal="left"/>
      <protection/>
    </xf>
    <xf numFmtId="49" fontId="9" fillId="0" borderId="0">
      <alignment horizontal="left" vertical="center"/>
      <protection/>
    </xf>
    <xf numFmtId="49" fontId="10" fillId="0" borderId="3">
      <alignment horizontal="left" vertical="center"/>
      <protection/>
    </xf>
    <xf numFmtId="49" fontId="7" fillId="0" borderId="3" applyFill="0">
      <alignment horizontal="left" vertical="center"/>
      <protection/>
    </xf>
    <xf numFmtId="49" fontId="10" fillId="0" borderId="3">
      <alignment horizontal="left"/>
      <protection/>
    </xf>
    <xf numFmtId="179" fontId="9" fillId="0" borderId="0" applyNumberFormat="0">
      <alignment horizontal="right"/>
      <protection/>
    </xf>
    <xf numFmtId="0" fontId="14" fillId="34" borderId="0">
      <alignment horizontal="centerContinuous" vertical="center" wrapText="1"/>
      <protection/>
    </xf>
    <xf numFmtId="0" fontId="14" fillId="0" borderId="10">
      <alignment horizontal="left" vertical="center"/>
      <protection/>
    </xf>
    <xf numFmtId="0" fontId="18" fillId="0" borderId="0">
      <alignment horizontal="left" vertical="top"/>
      <protection/>
    </xf>
    <xf numFmtId="0" fontId="107" fillId="0" borderId="0" applyNumberFormat="0" applyFill="0" applyBorder="0" applyAlignment="0" applyProtection="0"/>
    <xf numFmtId="0" fontId="16" fillId="0" borderId="0">
      <alignment horizontal="left"/>
      <protection/>
    </xf>
    <xf numFmtId="0" fontId="8" fillId="0" borderId="0">
      <alignment horizontal="left"/>
      <protection/>
    </xf>
    <xf numFmtId="0" fontId="11" fillId="0" borderId="0">
      <alignment horizontal="left"/>
      <protection/>
    </xf>
    <xf numFmtId="0" fontId="18" fillId="0" borderId="0">
      <alignment horizontal="left" vertical="top"/>
      <protection/>
    </xf>
    <xf numFmtId="0" fontId="8" fillId="0" borderId="0">
      <alignment horizontal="left"/>
      <protection/>
    </xf>
    <xf numFmtId="0" fontId="11" fillId="0" borderId="0">
      <alignment horizontal="left"/>
      <protection/>
    </xf>
    <xf numFmtId="0" fontId="0" fillId="0" borderId="11" applyNumberFormat="0" applyFont="0" applyFill="0" applyAlignment="0" applyProtection="0"/>
    <xf numFmtId="0" fontId="108" fillId="0" borderId="0" applyNumberFormat="0" applyFill="0" applyBorder="0" applyAlignment="0" applyProtection="0"/>
    <xf numFmtId="49" fontId="9" fillId="0" borderId="3">
      <alignment horizontal="left"/>
      <protection/>
    </xf>
    <xf numFmtId="0" fontId="14" fillId="0" borderId="5">
      <alignment horizontal="left"/>
      <protection/>
    </xf>
    <xf numFmtId="0" fontId="16" fillId="0" borderId="0">
      <alignment horizontal="left" vertical="center"/>
      <protection/>
    </xf>
    <xf numFmtId="49" fontId="17" fillId="0" borderId="3">
      <alignment horizontal="left"/>
      <protection/>
    </xf>
  </cellStyleXfs>
  <cellXfs count="93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5" fillId="0" borderId="0" xfId="0" applyFont="1" applyAlignment="1">
      <alignment/>
    </xf>
    <xf numFmtId="0" fontId="20" fillId="0" borderId="0" xfId="0" applyFont="1" applyAlignment="1">
      <alignment/>
    </xf>
    <xf numFmtId="0" fontId="1" fillId="0" borderId="0" xfId="0" applyNumberFormat="1" applyFont="1" applyAlignment="1">
      <alignment/>
    </xf>
    <xf numFmtId="0" fontId="1" fillId="0" borderId="0" xfId="0" applyFont="1" applyAlignment="1">
      <alignment/>
    </xf>
    <xf numFmtId="0" fontId="0" fillId="0" borderId="0" xfId="0" applyNumberFormat="1" applyFont="1" applyAlignment="1">
      <alignment wrapText="1"/>
    </xf>
    <xf numFmtId="0" fontId="0" fillId="0" borderId="0" xfId="0" applyFont="1" applyAlignment="1">
      <alignment wrapText="1"/>
    </xf>
    <xf numFmtId="0" fontId="57" fillId="0" borderId="0" xfId="0" applyFont="1" applyAlignment="1">
      <alignment vertical="top"/>
    </xf>
    <xf numFmtId="0" fontId="57" fillId="35" borderId="12" xfId="0" applyFont="1" applyFill="1" applyBorder="1" applyAlignment="1">
      <alignment vertical="top"/>
    </xf>
    <xf numFmtId="0" fontId="57" fillId="35" borderId="13" xfId="0" applyFont="1" applyFill="1" applyBorder="1" applyAlignment="1">
      <alignment vertical="top"/>
    </xf>
    <xf numFmtId="0" fontId="57" fillId="35" borderId="14" xfId="0" applyFont="1" applyFill="1" applyBorder="1" applyAlignment="1">
      <alignment vertical="top"/>
    </xf>
    <xf numFmtId="0" fontId="21" fillId="0" borderId="0" xfId="0" applyFont="1" applyAlignment="1">
      <alignment vertical="top"/>
    </xf>
    <xf numFmtId="0" fontId="58" fillId="35" borderId="15" xfId="0" applyFont="1" applyFill="1" applyBorder="1" applyAlignment="1">
      <alignment horizontal="center" vertical="top" wrapText="1"/>
    </xf>
    <xf numFmtId="0" fontId="59" fillId="35" borderId="16" xfId="0" applyFont="1" applyFill="1" applyBorder="1" applyAlignment="1">
      <alignment vertical="top"/>
    </xf>
    <xf numFmtId="0" fontId="57" fillId="35" borderId="15" xfId="0" applyFont="1" applyFill="1" applyBorder="1" applyAlignment="1">
      <alignment vertical="top"/>
    </xf>
    <xf numFmtId="0" fontId="57" fillId="35" borderId="16" xfId="0" applyFont="1" applyFill="1" applyBorder="1" applyAlignment="1">
      <alignment vertical="top"/>
    </xf>
    <xf numFmtId="0" fontId="57" fillId="35" borderId="0" xfId="0" applyFont="1" applyFill="1" applyBorder="1" applyAlignment="1">
      <alignment vertical="top"/>
    </xf>
    <xf numFmtId="0" fontId="23" fillId="35" borderId="15" xfId="0" applyFont="1" applyFill="1" applyBorder="1" applyAlignment="1">
      <alignment vertical="top"/>
    </xf>
    <xf numFmtId="0" fontId="23" fillId="35" borderId="0" xfId="0" applyFont="1" applyFill="1" applyBorder="1" applyAlignment="1">
      <alignment vertical="top"/>
    </xf>
    <xf numFmtId="0" fontId="23" fillId="35" borderId="16" xfId="0" applyFont="1" applyFill="1" applyBorder="1" applyAlignment="1">
      <alignment vertical="top"/>
    </xf>
    <xf numFmtId="0" fontId="23" fillId="0" borderId="0" xfId="0" applyFont="1" applyAlignment="1">
      <alignment vertical="top"/>
    </xf>
    <xf numFmtId="0" fontId="25" fillId="35" borderId="0" xfId="0" applyFont="1" applyFill="1" applyBorder="1" applyAlignment="1">
      <alignment vertical="top"/>
    </xf>
    <xf numFmtId="0" fontId="60" fillId="0" borderId="0" xfId="0" applyFont="1" applyAlignment="1">
      <alignment horizontal="right" vertical="top"/>
    </xf>
    <xf numFmtId="49" fontId="22" fillId="35" borderId="0" xfId="0" applyNumberFormat="1" applyFont="1" applyFill="1" applyBorder="1" applyAlignment="1">
      <alignment horizontal="right" vertical="top"/>
    </xf>
    <xf numFmtId="0" fontId="57" fillId="35" borderId="17" xfId="0" applyFont="1" applyFill="1" applyBorder="1" applyAlignment="1">
      <alignment vertical="top"/>
    </xf>
    <xf numFmtId="0" fontId="57" fillId="35" borderId="18" xfId="0" applyFont="1" applyFill="1" applyBorder="1" applyAlignment="1">
      <alignment vertical="top"/>
    </xf>
    <xf numFmtId="0" fontId="57" fillId="35" borderId="19" xfId="0" applyFont="1" applyFill="1" applyBorder="1" applyAlignment="1">
      <alignment vertical="top"/>
    </xf>
    <xf numFmtId="0" fontId="57" fillId="0" borderId="0" xfId="0" applyFont="1" applyBorder="1" applyAlignment="1">
      <alignment vertical="top"/>
    </xf>
    <xf numFmtId="0" fontId="60" fillId="0" borderId="0" xfId="0" applyFont="1" applyAlignment="1">
      <alignment vertical="top"/>
    </xf>
    <xf numFmtId="0" fontId="23" fillId="35" borderId="0" xfId="0" applyFont="1" applyFill="1" applyBorder="1" applyAlignment="1">
      <alignment horizontal="right" vertical="top"/>
    </xf>
    <xf numFmtId="0" fontId="23" fillId="36" borderId="20" xfId="0" applyFont="1" applyFill="1" applyBorder="1" applyAlignment="1">
      <alignment vertical="top"/>
    </xf>
    <xf numFmtId="0" fontId="23" fillId="28" borderId="20" xfId="0" applyFont="1" applyFill="1" applyBorder="1" applyAlignment="1">
      <alignment vertical="top"/>
    </xf>
    <xf numFmtId="0" fontId="22" fillId="35" borderId="21" xfId="0" applyFont="1" applyFill="1" applyBorder="1" applyAlignment="1">
      <alignment vertical="top"/>
    </xf>
    <xf numFmtId="0" fontId="23" fillId="35" borderId="11" xfId="0" applyFont="1" applyFill="1" applyBorder="1" applyAlignment="1">
      <alignment vertical="top"/>
    </xf>
    <xf numFmtId="0" fontId="23" fillId="35" borderId="22" xfId="0" applyFont="1" applyFill="1" applyBorder="1" applyAlignment="1">
      <alignment vertical="top"/>
    </xf>
    <xf numFmtId="0" fontId="23" fillId="35" borderId="23" xfId="0" applyFont="1" applyFill="1" applyBorder="1" applyAlignment="1">
      <alignment vertical="top"/>
    </xf>
    <xf numFmtId="0" fontId="109" fillId="35" borderId="0" xfId="0" applyFont="1" applyFill="1" applyBorder="1" applyAlignment="1">
      <alignment vertical="top"/>
    </xf>
    <xf numFmtId="0" fontId="23" fillId="35" borderId="24" xfId="0" applyFont="1" applyFill="1" applyBorder="1" applyAlignment="1">
      <alignment vertical="top"/>
    </xf>
    <xf numFmtId="0" fontId="23" fillId="35" borderId="25" xfId="0" applyFont="1" applyFill="1" applyBorder="1" applyAlignment="1">
      <alignment vertical="top"/>
    </xf>
    <xf numFmtId="0" fontId="23" fillId="35" borderId="26" xfId="0" applyFont="1" applyFill="1" applyBorder="1" applyAlignment="1">
      <alignment vertical="top"/>
    </xf>
    <xf numFmtId="0" fontId="23" fillId="35" borderId="27" xfId="0" applyFont="1" applyFill="1" applyBorder="1" applyAlignment="1">
      <alignment vertical="top"/>
    </xf>
    <xf numFmtId="0" fontId="62" fillId="0" borderId="0" xfId="0" applyFont="1" applyAlignment="1">
      <alignment vertical="top" wrapText="1"/>
    </xf>
    <xf numFmtId="0" fontId="62" fillId="0" borderId="0" xfId="0" applyFont="1" applyAlignment="1">
      <alignment vertical="top"/>
    </xf>
    <xf numFmtId="0" fontId="38" fillId="35" borderId="11" xfId="0" applyFont="1" applyFill="1" applyBorder="1" applyAlignment="1">
      <alignment vertical="center"/>
    </xf>
    <xf numFmtId="0" fontId="38" fillId="35" borderId="11" xfId="0" applyFont="1" applyFill="1" applyBorder="1" applyAlignment="1">
      <alignment vertical="center" wrapText="1"/>
    </xf>
    <xf numFmtId="0" fontId="23" fillId="35" borderId="0" xfId="0" applyFont="1" applyFill="1" applyBorder="1" applyAlignment="1">
      <alignment vertical="top" wrapText="1"/>
    </xf>
    <xf numFmtId="0" fontId="23" fillId="0" borderId="0" xfId="0" applyFont="1" applyAlignment="1">
      <alignment horizontal="left" vertical="top"/>
    </xf>
    <xf numFmtId="0" fontId="23" fillId="35" borderId="0" xfId="0" applyFont="1" applyFill="1" applyBorder="1" applyAlignment="1">
      <alignment horizontal="left" vertical="top" wrapText="1"/>
    </xf>
    <xf numFmtId="0" fontId="23" fillId="35" borderId="24" xfId="0" applyFont="1" applyFill="1" applyBorder="1" applyAlignment="1">
      <alignment horizontal="left" vertical="top" wrapText="1"/>
    </xf>
    <xf numFmtId="0" fontId="23" fillId="35" borderId="24" xfId="0" applyFont="1" applyFill="1" applyBorder="1" applyAlignment="1">
      <alignment horizontal="left" vertical="top"/>
    </xf>
    <xf numFmtId="0" fontId="23" fillId="35" borderId="26" xfId="0" applyFont="1" applyFill="1" applyBorder="1" applyAlignment="1">
      <alignment horizontal="left" vertical="top" wrapText="1"/>
    </xf>
    <xf numFmtId="0" fontId="23" fillId="35" borderId="27" xfId="0" applyFont="1" applyFill="1" applyBorder="1" applyAlignment="1">
      <alignment horizontal="left" vertical="top"/>
    </xf>
    <xf numFmtId="0" fontId="22" fillId="0" borderId="0" xfId="0" applyFont="1" applyAlignment="1">
      <alignment vertical="top"/>
    </xf>
    <xf numFmtId="0" fontId="23" fillId="35" borderId="21" xfId="0" applyFont="1" applyFill="1" applyBorder="1" applyAlignment="1">
      <alignment vertical="top"/>
    </xf>
    <xf numFmtId="0" fontId="22" fillId="35" borderId="11" xfId="0" applyFont="1" applyFill="1" applyBorder="1" applyAlignment="1">
      <alignment vertical="center"/>
    </xf>
    <xf numFmtId="0" fontId="23" fillId="35" borderId="22" xfId="0" applyFont="1" applyFill="1" applyBorder="1" applyAlignment="1">
      <alignment vertical="top"/>
    </xf>
    <xf numFmtId="0" fontId="23" fillId="35" borderId="25" xfId="0" applyFont="1" applyFill="1" applyBorder="1" applyAlignment="1">
      <alignment vertical="top"/>
    </xf>
    <xf numFmtId="0" fontId="23" fillId="35" borderId="26" xfId="0" applyFont="1" applyFill="1" applyBorder="1" applyAlignment="1">
      <alignment vertical="top"/>
    </xf>
    <xf numFmtId="0" fontId="23" fillId="0" borderId="0" xfId="0" applyFont="1" applyAlignment="1">
      <alignment vertical="top" wrapText="1"/>
    </xf>
    <xf numFmtId="0" fontId="57" fillId="0" borderId="0" xfId="0" applyFont="1" applyAlignment="1">
      <alignment/>
    </xf>
    <xf numFmtId="0" fontId="57" fillId="0" borderId="0" xfId="0" applyFont="1" applyBorder="1" applyAlignment="1">
      <alignment/>
    </xf>
    <xf numFmtId="0" fontId="38" fillId="0" borderId="0" xfId="0" applyFont="1" applyBorder="1" applyAlignment="1">
      <alignment horizontal="center" vertical="top" wrapText="1"/>
    </xf>
    <xf numFmtId="0" fontId="57" fillId="35" borderId="24" xfId="0" applyFont="1" applyFill="1" applyBorder="1" applyAlignment="1">
      <alignment wrapText="1"/>
    </xf>
    <xf numFmtId="0" fontId="57" fillId="35" borderId="23" xfId="0" applyFont="1" applyFill="1" applyBorder="1" applyAlignment="1">
      <alignment wrapText="1"/>
    </xf>
    <xf numFmtId="0" fontId="57" fillId="35" borderId="28" xfId="0" applyFont="1" applyFill="1" applyBorder="1" applyAlignment="1">
      <alignment wrapText="1"/>
    </xf>
    <xf numFmtId="0" fontId="57" fillId="35" borderId="25" xfId="0" applyFont="1" applyFill="1" applyBorder="1" applyAlignment="1">
      <alignment wrapText="1"/>
    </xf>
    <xf numFmtId="0" fontId="57" fillId="35" borderId="26" xfId="0" applyFont="1" applyFill="1" applyBorder="1" applyAlignment="1">
      <alignment wrapText="1"/>
    </xf>
    <xf numFmtId="0" fontId="57" fillId="35" borderId="27" xfId="0" applyFont="1" applyFill="1" applyBorder="1" applyAlignment="1">
      <alignment wrapText="1"/>
    </xf>
    <xf numFmtId="0" fontId="57" fillId="0" borderId="0" xfId="0" applyFont="1" applyAlignment="1">
      <alignment horizontal="center"/>
    </xf>
    <xf numFmtId="0" fontId="21" fillId="0" borderId="0" xfId="0" applyFont="1" applyBorder="1" applyAlignment="1">
      <alignment horizontal="left" vertical="top" wrapText="1"/>
    </xf>
    <xf numFmtId="0" fontId="21" fillId="0" borderId="0" xfId="0" applyFont="1" applyAlignment="1">
      <alignment horizontal="left"/>
    </xf>
    <xf numFmtId="0" fontId="21" fillId="0" borderId="0" xfId="0" applyFont="1" applyAlignment="1">
      <alignment horizontal="right"/>
    </xf>
    <xf numFmtId="0" fontId="21" fillId="36" borderId="20" xfId="0" applyFont="1" applyFill="1" applyBorder="1" applyAlignment="1">
      <alignment horizontal="left"/>
    </xf>
    <xf numFmtId="0" fontId="22" fillId="35" borderId="0" xfId="0" applyFont="1" applyFill="1" applyBorder="1" applyAlignment="1">
      <alignment wrapText="1"/>
    </xf>
    <xf numFmtId="0" fontId="23" fillId="35" borderId="0" xfId="0" applyFont="1" applyFill="1" applyBorder="1" applyAlignment="1">
      <alignment wrapText="1"/>
    </xf>
    <xf numFmtId="0" fontId="23" fillId="35" borderId="29" xfId="0" applyFont="1" applyFill="1" applyBorder="1" applyAlignment="1">
      <alignment/>
    </xf>
    <xf numFmtId="0" fontId="23" fillId="35" borderId="29" xfId="0" applyFont="1" applyFill="1" applyBorder="1" applyAlignment="1">
      <alignment horizontal="center"/>
    </xf>
    <xf numFmtId="0" fontId="22" fillId="37" borderId="30" xfId="0" applyFont="1" applyFill="1" applyBorder="1" applyAlignment="1">
      <alignment vertical="center" wrapText="1"/>
    </xf>
    <xf numFmtId="0" fontId="22" fillId="37" borderId="31" xfId="0" applyFont="1" applyFill="1" applyBorder="1" applyAlignment="1">
      <alignment horizontal="center" vertical="center" wrapText="1"/>
    </xf>
    <xf numFmtId="0" fontId="23" fillId="37" borderId="32" xfId="0" applyFont="1" applyFill="1" applyBorder="1" applyAlignment="1">
      <alignment wrapText="1"/>
    </xf>
    <xf numFmtId="2" fontId="23" fillId="36" borderId="33" xfId="0" applyNumberFormat="1" applyFont="1" applyFill="1" applyBorder="1" applyAlignment="1" applyProtection="1">
      <alignment horizontal="center" vertical="center" wrapText="1"/>
      <protection locked="0"/>
    </xf>
    <xf numFmtId="0" fontId="23" fillId="37" borderId="34" xfId="0" applyFont="1" applyFill="1" applyBorder="1" applyAlignment="1">
      <alignment wrapText="1"/>
    </xf>
    <xf numFmtId="0" fontId="23" fillId="36" borderId="34" xfId="0" applyFont="1" applyFill="1" applyBorder="1" applyAlignment="1" applyProtection="1">
      <alignment wrapText="1"/>
      <protection locked="0"/>
    </xf>
    <xf numFmtId="0" fontId="23" fillId="36" borderId="35" xfId="0" applyFont="1" applyFill="1" applyBorder="1" applyAlignment="1" applyProtection="1">
      <alignment wrapText="1"/>
      <protection locked="0"/>
    </xf>
    <xf numFmtId="2" fontId="23" fillId="36" borderId="36"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36" borderId="20" xfId="0" applyFont="1" applyFill="1" applyBorder="1" applyAlignment="1">
      <alignment vertical="center"/>
    </xf>
    <xf numFmtId="0" fontId="57" fillId="35" borderId="11" xfId="0" applyFont="1" applyFill="1" applyBorder="1" applyAlignment="1">
      <alignment vertical="center"/>
    </xf>
    <xf numFmtId="0" fontId="57" fillId="35" borderId="22" xfId="0" applyFont="1" applyFill="1" applyBorder="1" applyAlignment="1">
      <alignment vertical="center"/>
    </xf>
    <xf numFmtId="0" fontId="57" fillId="35" borderId="23" xfId="0" applyFont="1" applyFill="1" applyBorder="1" applyAlignment="1">
      <alignment vertical="center"/>
    </xf>
    <xf numFmtId="0" fontId="57" fillId="35" borderId="0" xfId="0" applyFont="1" applyFill="1" applyBorder="1" applyAlignment="1">
      <alignment vertical="center"/>
    </xf>
    <xf numFmtId="0" fontId="57" fillId="35" borderId="24" xfId="0" applyFont="1" applyFill="1" applyBorder="1" applyAlignment="1">
      <alignment vertical="center"/>
    </xf>
    <xf numFmtId="0" fontId="57" fillId="35" borderId="25" xfId="0" applyFont="1" applyFill="1" applyBorder="1" applyAlignment="1">
      <alignment vertical="center"/>
    </xf>
    <xf numFmtId="0" fontId="57" fillId="35" borderId="26" xfId="0" applyFont="1" applyFill="1" applyBorder="1" applyAlignment="1">
      <alignment vertical="center"/>
    </xf>
    <xf numFmtId="0" fontId="57" fillId="35" borderId="26" xfId="0" applyFont="1" applyFill="1" applyBorder="1" applyAlignment="1">
      <alignment horizontal="center" vertical="center"/>
    </xf>
    <xf numFmtId="0" fontId="57" fillId="35" borderId="27" xfId="0" applyFont="1" applyFill="1" applyBorder="1" applyAlignment="1">
      <alignment vertical="center"/>
    </xf>
    <xf numFmtId="0" fontId="21" fillId="0" borderId="0" xfId="0" applyFont="1" applyAlignment="1">
      <alignment vertical="center"/>
    </xf>
    <xf numFmtId="0" fontId="22" fillId="35" borderId="21" xfId="0" applyFont="1" applyFill="1" applyBorder="1" applyAlignment="1">
      <alignment vertical="center"/>
    </xf>
    <xf numFmtId="0" fontId="23" fillId="35" borderId="11" xfId="0" applyFont="1" applyFill="1" applyBorder="1" applyAlignment="1">
      <alignment vertical="center"/>
    </xf>
    <xf numFmtId="0" fontId="23" fillId="35" borderId="11" xfId="0" applyFont="1" applyFill="1" applyBorder="1" applyAlignment="1">
      <alignment horizontal="center" vertical="center"/>
    </xf>
    <xf numFmtId="0" fontId="23" fillId="35" borderId="23" xfId="0" applyFont="1" applyFill="1" applyBorder="1" applyAlignment="1">
      <alignment vertical="center"/>
    </xf>
    <xf numFmtId="0" fontId="23" fillId="35" borderId="0" xfId="0" applyFont="1" applyFill="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3" fillId="38" borderId="20" xfId="0" applyFont="1" applyFill="1" applyBorder="1" applyAlignment="1">
      <alignment horizontal="center" vertical="center"/>
    </xf>
    <xf numFmtId="0" fontId="23" fillId="37" borderId="20" xfId="0" applyFont="1" applyFill="1" applyBorder="1" applyAlignment="1" applyProtection="1">
      <alignment horizontal="center" vertical="center"/>
      <protection/>
    </xf>
    <xf numFmtId="0" fontId="23" fillId="36" borderId="20" xfId="0" applyFont="1" applyFill="1" applyBorder="1" applyAlignment="1" applyProtection="1">
      <alignment horizontal="center" vertical="center"/>
      <protection locked="0"/>
    </xf>
    <xf numFmtId="0" fontId="23" fillId="0" borderId="37" xfId="0" applyFont="1" applyBorder="1" applyAlignment="1">
      <alignment vertical="center" wrapText="1"/>
    </xf>
    <xf numFmtId="0" fontId="23" fillId="38" borderId="20" xfId="0" applyFont="1" applyFill="1" applyBorder="1" applyAlignment="1" applyProtection="1">
      <alignment vertical="center"/>
      <protection/>
    </xf>
    <xf numFmtId="0" fontId="23" fillId="0" borderId="20" xfId="0" applyFont="1" applyBorder="1" applyAlignment="1">
      <alignment vertical="center" wrapText="1"/>
    </xf>
    <xf numFmtId="0" fontId="23" fillId="37" borderId="20" xfId="0" applyFont="1" applyFill="1" applyBorder="1" applyAlignment="1" applyProtection="1">
      <alignment horizontal="center" vertical="center"/>
      <protection locked="0"/>
    </xf>
    <xf numFmtId="0" fontId="23" fillId="0" borderId="20" xfId="0" applyFont="1" applyFill="1" applyBorder="1" applyAlignment="1">
      <alignment vertical="center"/>
    </xf>
    <xf numFmtId="0" fontId="57" fillId="0" borderId="0" xfId="0" applyFont="1" applyFill="1" applyAlignment="1">
      <alignment vertical="center"/>
    </xf>
    <xf numFmtId="0" fontId="64" fillId="0" borderId="0" xfId="0" applyFont="1" applyFill="1" applyAlignment="1">
      <alignment vertical="center"/>
    </xf>
    <xf numFmtId="2" fontId="57" fillId="0" borderId="0" xfId="0" applyNumberFormat="1" applyFont="1" applyFill="1" applyAlignment="1">
      <alignment vertical="center"/>
    </xf>
    <xf numFmtId="0" fontId="38" fillId="0" borderId="0" xfId="0" applyFont="1" applyFill="1" applyAlignment="1">
      <alignment vertical="center"/>
    </xf>
    <xf numFmtId="0" fontId="57" fillId="0" borderId="0" xfId="0" applyFont="1" applyFill="1" applyBorder="1" applyAlignment="1">
      <alignment horizontal="left" vertical="center"/>
    </xf>
    <xf numFmtId="2" fontId="65" fillId="0" borderId="0" xfId="0" applyNumberFormat="1" applyFont="1" applyFill="1" applyBorder="1" applyAlignment="1">
      <alignment vertical="center"/>
    </xf>
    <xf numFmtId="2" fontId="57" fillId="0" borderId="0" xfId="0" applyNumberFormat="1" applyFont="1" applyFill="1" applyBorder="1" applyAlignment="1">
      <alignment vertical="center"/>
    </xf>
    <xf numFmtId="0" fontId="57" fillId="0" borderId="0" xfId="0" applyFont="1" applyFill="1" applyBorder="1" applyAlignment="1">
      <alignment vertical="center"/>
    </xf>
    <xf numFmtId="0" fontId="23" fillId="0" borderId="0" xfId="0" applyFont="1" applyFill="1" applyAlignment="1">
      <alignment vertical="center"/>
    </xf>
    <xf numFmtId="2" fontId="23" fillId="0" borderId="0" xfId="0" applyNumberFormat="1" applyFont="1" applyFill="1" applyAlignment="1">
      <alignment vertical="center"/>
    </xf>
    <xf numFmtId="0" fontId="22" fillId="0" borderId="0" xfId="0" applyFont="1" applyFill="1" applyAlignment="1">
      <alignment vertical="center"/>
    </xf>
    <xf numFmtId="0" fontId="23" fillId="0" borderId="0" xfId="0" applyFont="1" applyFill="1" applyBorder="1" applyAlignment="1">
      <alignment horizontal="left" vertical="center"/>
    </xf>
    <xf numFmtId="2" fontId="23" fillId="0" borderId="0" xfId="0" applyNumberFormat="1" applyFont="1" applyFill="1" applyBorder="1" applyAlignment="1">
      <alignment horizontal="left" vertical="center"/>
    </xf>
    <xf numFmtId="2" fontId="66" fillId="0" borderId="0" xfId="0" applyNumberFormat="1" applyFont="1" applyFill="1" applyBorder="1" applyAlignment="1">
      <alignment vertical="center"/>
    </xf>
    <xf numFmtId="2" fontId="23" fillId="0" borderId="0" xfId="0" applyNumberFormat="1" applyFont="1" applyFill="1" applyBorder="1" applyAlignment="1">
      <alignment vertical="center"/>
    </xf>
    <xf numFmtId="0" fontId="23" fillId="0" borderId="0" xfId="0" applyFont="1" applyFill="1" applyBorder="1" applyAlignment="1">
      <alignment vertical="center"/>
    </xf>
    <xf numFmtId="0" fontId="22" fillId="0" borderId="20" xfId="0" applyFont="1" applyBorder="1" applyAlignment="1">
      <alignment horizontal="center" vertical="center" wrapText="1"/>
    </xf>
    <xf numFmtId="0" fontId="23" fillId="0" borderId="20" xfId="0" applyFont="1" applyBorder="1" applyAlignment="1">
      <alignment horizontal="left" vertical="center"/>
    </xf>
    <xf numFmtId="0" fontId="23" fillId="0" borderId="20" xfId="0" applyFont="1" applyBorder="1" applyAlignment="1">
      <alignment horizontal="center" vertical="center"/>
    </xf>
    <xf numFmtId="0" fontId="23" fillId="0" borderId="20" xfId="0" applyFont="1" applyBorder="1" applyAlignment="1">
      <alignment horizontal="center" vertical="center" wrapText="1"/>
    </xf>
    <xf numFmtId="0" fontId="23" fillId="0" borderId="20" xfId="0" applyFont="1" applyBorder="1" applyAlignment="1">
      <alignment horizontal="center" vertical="center"/>
    </xf>
    <xf numFmtId="0" fontId="38" fillId="35" borderId="21" xfId="0" applyFont="1" applyFill="1" applyBorder="1" applyAlignment="1">
      <alignment vertical="center"/>
    </xf>
    <xf numFmtId="2" fontId="23" fillId="35" borderId="11" xfId="0" applyNumberFormat="1" applyFont="1" applyFill="1" applyBorder="1" applyAlignment="1">
      <alignment vertical="center"/>
    </xf>
    <xf numFmtId="0" fontId="23" fillId="35" borderId="22" xfId="0" applyFont="1" applyFill="1" applyBorder="1" applyAlignment="1">
      <alignment vertical="center"/>
    </xf>
    <xf numFmtId="2" fontId="23" fillId="35" borderId="0" xfId="0" applyNumberFormat="1" applyFont="1" applyFill="1" applyBorder="1" applyAlignment="1">
      <alignment vertical="center"/>
    </xf>
    <xf numFmtId="0" fontId="23" fillId="35" borderId="24" xfId="0" applyFont="1" applyFill="1" applyBorder="1" applyAlignment="1">
      <alignment vertical="center"/>
    </xf>
    <xf numFmtId="0" fontId="23" fillId="35" borderId="25" xfId="0" applyFont="1" applyFill="1" applyBorder="1" applyAlignment="1">
      <alignment vertical="center"/>
    </xf>
    <xf numFmtId="0" fontId="23" fillId="35" borderId="26" xfId="0" applyFont="1" applyFill="1" applyBorder="1" applyAlignment="1">
      <alignment vertical="center"/>
    </xf>
    <xf numFmtId="2" fontId="23" fillId="35" borderId="26" xfId="0" applyNumberFormat="1" applyFont="1" applyFill="1" applyBorder="1" applyAlignment="1">
      <alignment vertical="center"/>
    </xf>
    <xf numFmtId="0" fontId="23" fillId="35" borderId="27" xfId="0" applyFont="1" applyFill="1" applyBorder="1" applyAlignment="1">
      <alignment vertical="center"/>
    </xf>
    <xf numFmtId="0" fontId="63" fillId="0" borderId="21" xfId="0" applyFont="1" applyFill="1" applyBorder="1" applyAlignment="1">
      <alignment vertical="center"/>
    </xf>
    <xf numFmtId="0" fontId="38" fillId="0" borderId="23" xfId="0" applyFont="1" applyFill="1" applyBorder="1" applyAlignment="1">
      <alignment horizontal="center" vertical="center"/>
    </xf>
    <xf numFmtId="0" fontId="38" fillId="0" borderId="0" xfId="0" applyFont="1" applyFill="1" applyBorder="1" applyAlignment="1">
      <alignment horizontal="center" vertical="center"/>
    </xf>
    <xf numFmtId="0" fontId="57" fillId="0" borderId="24" xfId="0" applyFont="1" applyFill="1" applyBorder="1" applyAlignment="1">
      <alignment vertical="center"/>
    </xf>
    <xf numFmtId="2" fontId="63" fillId="0" borderId="23" xfId="0" applyNumberFormat="1" applyFont="1" applyFill="1" applyBorder="1" applyAlignment="1">
      <alignment vertical="center"/>
    </xf>
    <xf numFmtId="2" fontId="63" fillId="0" borderId="0" xfId="0" applyNumberFormat="1" applyFont="1" applyFill="1" applyBorder="1" applyAlignment="1">
      <alignment vertical="center"/>
    </xf>
    <xf numFmtId="2" fontId="65" fillId="0" borderId="23" xfId="0" applyNumberFormat="1" applyFont="1" applyFill="1" applyBorder="1" applyAlignment="1">
      <alignment vertical="center"/>
    </xf>
    <xf numFmtId="0" fontId="57" fillId="0" borderId="23" xfId="0" applyFont="1" applyFill="1" applyBorder="1" applyAlignment="1">
      <alignment horizontal="left" vertical="center"/>
    </xf>
    <xf numFmtId="0" fontId="110" fillId="0" borderId="0" xfId="0" applyFont="1" applyFill="1" applyAlignment="1">
      <alignment vertical="center"/>
    </xf>
    <xf numFmtId="0" fontId="68" fillId="0" borderId="0" xfId="0" applyFont="1" applyFill="1" applyAlignment="1">
      <alignment vertical="center"/>
    </xf>
    <xf numFmtId="0" fontId="21" fillId="0" borderId="0" xfId="0" applyFont="1" applyFill="1" applyAlignment="1">
      <alignment vertical="center"/>
    </xf>
    <xf numFmtId="0" fontId="38" fillId="0" borderId="21" xfId="0" applyFont="1" applyFill="1" applyBorder="1" applyAlignment="1">
      <alignment vertical="center"/>
    </xf>
    <xf numFmtId="0" fontId="38" fillId="0" borderId="11" xfId="0" applyFont="1" applyFill="1" applyBorder="1" applyAlignment="1">
      <alignment vertical="center"/>
    </xf>
    <xf numFmtId="0" fontId="21" fillId="0" borderId="22" xfId="0" applyFont="1" applyFill="1" applyBorder="1" applyAlignment="1">
      <alignment vertical="center"/>
    </xf>
    <xf numFmtId="0" fontId="21" fillId="0" borderId="24" xfId="0" applyFont="1" applyFill="1" applyBorder="1" applyAlignment="1">
      <alignment vertical="center"/>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27" xfId="0" applyFont="1" applyFill="1" applyBorder="1" applyAlignment="1">
      <alignment vertical="center"/>
    </xf>
    <xf numFmtId="2" fontId="38" fillId="36" borderId="20" xfId="0" applyNumberFormat="1" applyFont="1" applyFill="1" applyBorder="1" applyAlignment="1">
      <alignment vertical="center"/>
    </xf>
    <xf numFmtId="4" fontId="22" fillId="0" borderId="20" xfId="0" applyNumberFormat="1" applyFont="1" applyFill="1" applyBorder="1" applyAlignment="1">
      <alignment horizontal="center" vertical="center" wrapText="1"/>
    </xf>
    <xf numFmtId="0" fontId="22" fillId="39" borderId="20" xfId="0" applyFont="1" applyFill="1" applyBorder="1" applyAlignment="1" applyProtection="1">
      <alignment horizontal="center" vertical="center" wrapText="1"/>
      <protection/>
    </xf>
    <xf numFmtId="0" fontId="22" fillId="39" borderId="20" xfId="0" applyFont="1" applyFill="1" applyBorder="1" applyAlignment="1" applyProtection="1">
      <alignment horizontal="center" vertical="center"/>
      <protection/>
    </xf>
    <xf numFmtId="173" fontId="22" fillId="39" borderId="20" xfId="0" applyNumberFormat="1" applyFont="1" applyFill="1" applyBorder="1" applyAlignment="1" applyProtection="1">
      <alignment horizontal="center" vertical="center" wrapText="1"/>
      <protection/>
    </xf>
    <xf numFmtId="2" fontId="22" fillId="0" borderId="20" xfId="0" applyNumberFormat="1" applyFont="1" applyFill="1" applyBorder="1" applyAlignment="1">
      <alignment horizontal="center" vertical="center" wrapText="1"/>
    </xf>
    <xf numFmtId="0" fontId="23" fillId="37" borderId="20" xfId="0" applyFont="1" applyFill="1" applyBorder="1" applyAlignment="1" applyProtection="1">
      <alignment horizontal="left" vertical="center" wrapText="1"/>
      <protection/>
    </xf>
    <xf numFmtId="2" fontId="23" fillId="37" borderId="20" xfId="0" applyNumberFormat="1" applyFont="1" applyFill="1" applyBorder="1" applyAlignment="1" applyProtection="1">
      <alignment horizontal="center" vertical="center" wrapText="1"/>
      <protection/>
    </xf>
    <xf numFmtId="1" fontId="23" fillId="37" borderId="20" xfId="0" applyNumberFormat="1" applyFont="1" applyFill="1" applyBorder="1" applyAlignment="1" applyProtection="1">
      <alignment horizontal="center" vertical="center" wrapText="1"/>
      <protection/>
    </xf>
    <xf numFmtId="0" fontId="23" fillId="37" borderId="20" xfId="0" applyFont="1" applyFill="1" applyBorder="1" applyAlignment="1" applyProtection="1">
      <alignment horizontal="left" vertical="center"/>
      <protection/>
    </xf>
    <xf numFmtId="0" fontId="111" fillId="39" borderId="20" xfId="0" applyFont="1" applyFill="1" applyBorder="1" applyAlignment="1" applyProtection="1">
      <alignment vertical="center" wrapText="1"/>
      <protection/>
    </xf>
    <xf numFmtId="4" fontId="23" fillId="36" borderId="20" xfId="0" applyNumberFormat="1" applyFont="1" applyFill="1" applyBorder="1" applyAlignment="1" applyProtection="1">
      <alignment horizontal="center" vertical="center" wrapText="1"/>
      <protection locked="0"/>
    </xf>
    <xf numFmtId="2" fontId="23" fillId="36" borderId="20" xfId="0" applyNumberFormat="1" applyFont="1" applyFill="1" applyBorder="1" applyAlignment="1" applyProtection="1">
      <alignment horizontal="center" vertical="center" wrapText="1"/>
      <protection locked="0"/>
    </xf>
    <xf numFmtId="0" fontId="57" fillId="0" borderId="0" xfId="80" applyFont="1" applyFill="1">
      <alignment/>
      <protection/>
    </xf>
    <xf numFmtId="0" fontId="57" fillId="0" borderId="0" xfId="80" applyFont="1" applyFill="1" applyBorder="1" applyAlignment="1">
      <alignment vertical="top"/>
      <protection/>
    </xf>
    <xf numFmtId="0" fontId="69" fillId="0" borderId="0" xfId="80" applyFont="1" applyFill="1" applyBorder="1" applyAlignment="1">
      <alignment horizontal="left" vertical="top" wrapText="1"/>
      <protection/>
    </xf>
    <xf numFmtId="0" fontId="57" fillId="0" borderId="0" xfId="80" applyFont="1" applyFill="1" applyBorder="1">
      <alignment/>
      <protection/>
    </xf>
    <xf numFmtId="0" fontId="70" fillId="0" borderId="0" xfId="80" applyFont="1" applyFill="1">
      <alignment/>
      <protection/>
    </xf>
    <xf numFmtId="0" fontId="38" fillId="0" borderId="11" xfId="80" applyFont="1" applyFill="1" applyBorder="1" applyAlignment="1">
      <alignment horizontal="center"/>
      <protection/>
    </xf>
    <xf numFmtId="0" fontId="63" fillId="0" borderId="0" xfId="80" applyFont="1" applyFill="1" applyBorder="1">
      <alignment/>
      <protection/>
    </xf>
    <xf numFmtId="0" fontId="71" fillId="0" borderId="0" xfId="80" applyFont="1" applyFill="1">
      <alignment/>
      <protection/>
    </xf>
    <xf numFmtId="0" fontId="72" fillId="0" borderId="0" xfId="80" applyFont="1" applyFill="1">
      <alignment/>
      <protection/>
    </xf>
    <xf numFmtId="0" fontId="21" fillId="0" borderId="0" xfId="80" applyFont="1" applyFill="1" applyBorder="1">
      <alignment/>
      <protection/>
    </xf>
    <xf numFmtId="0" fontId="38" fillId="0" borderId="21" xfId="80" applyFont="1" applyFill="1" applyBorder="1" applyAlignment="1">
      <alignment vertical="center"/>
      <protection/>
    </xf>
    <xf numFmtId="0" fontId="21" fillId="0" borderId="11" xfId="80" applyFont="1" applyFill="1" applyBorder="1">
      <alignment/>
      <protection/>
    </xf>
    <xf numFmtId="0" fontId="21" fillId="0" borderId="38" xfId="80" applyFont="1" applyFill="1" applyBorder="1">
      <alignment/>
      <protection/>
    </xf>
    <xf numFmtId="0" fontId="21" fillId="0" borderId="22" xfId="80" applyFont="1" applyFill="1" applyBorder="1">
      <alignment/>
      <protection/>
    </xf>
    <xf numFmtId="0" fontId="21" fillId="0" borderId="24" xfId="80" applyFont="1" applyFill="1" applyBorder="1">
      <alignment/>
      <protection/>
    </xf>
    <xf numFmtId="0" fontId="21" fillId="0" borderId="23" xfId="80" applyFont="1" applyFill="1" applyBorder="1">
      <alignment/>
      <protection/>
    </xf>
    <xf numFmtId="0" fontId="21" fillId="0" borderId="0" xfId="80" applyFont="1" applyFill="1" applyBorder="1" applyAlignment="1">
      <alignment horizontal="right"/>
      <protection/>
    </xf>
    <xf numFmtId="0" fontId="21" fillId="0" borderId="25" xfId="80" applyFont="1" applyFill="1" applyBorder="1">
      <alignment/>
      <protection/>
    </xf>
    <xf numFmtId="0" fontId="21" fillId="0" borderId="26" xfId="80" applyFont="1" applyFill="1" applyBorder="1">
      <alignment/>
      <protection/>
    </xf>
    <xf numFmtId="0" fontId="21" fillId="0" borderId="27" xfId="80" applyFont="1" applyFill="1" applyBorder="1">
      <alignment/>
      <protection/>
    </xf>
    <xf numFmtId="2" fontId="38" fillId="36" borderId="20" xfId="80" applyNumberFormat="1" applyFont="1" applyFill="1" applyBorder="1">
      <alignment/>
      <protection/>
    </xf>
    <xf numFmtId="4" fontId="23" fillId="0" borderId="20" xfId="80" applyNumberFormat="1" applyFont="1" applyFill="1" applyBorder="1" applyAlignment="1">
      <alignment horizontal="center" vertical="center" wrapText="1"/>
      <protection/>
    </xf>
    <xf numFmtId="4" fontId="23" fillId="0" borderId="20" xfId="80" applyNumberFormat="1" applyFont="1" applyFill="1" applyBorder="1" applyAlignment="1">
      <alignment horizontal="center" vertical="center"/>
      <protection/>
    </xf>
    <xf numFmtId="4" fontId="73" fillId="40" borderId="0" xfId="80" applyNumberFormat="1" applyFont="1" applyFill="1" applyBorder="1" applyAlignment="1">
      <alignment vertical="center"/>
      <protection/>
    </xf>
    <xf numFmtId="2" fontId="74" fillId="40" borderId="20" xfId="80" applyNumberFormat="1" applyFont="1" applyFill="1" applyBorder="1" applyAlignment="1">
      <alignment horizontal="center" vertical="center" wrapText="1"/>
      <protection/>
    </xf>
    <xf numFmtId="4" fontId="23" fillId="36" borderId="20" xfId="80" applyNumberFormat="1" applyFont="1" applyFill="1" applyBorder="1" applyAlignment="1" applyProtection="1">
      <alignment wrapText="1"/>
      <protection locked="0"/>
    </xf>
    <xf numFmtId="4" fontId="23" fillId="36" borderId="20" xfId="80" applyNumberFormat="1" applyFont="1" applyFill="1" applyBorder="1" applyAlignment="1" applyProtection="1">
      <alignment horizontal="center" vertical="center" wrapText="1"/>
      <protection locked="0"/>
    </xf>
    <xf numFmtId="189" fontId="23" fillId="36" borderId="20" xfId="80" applyNumberFormat="1" applyFont="1" applyFill="1" applyBorder="1" applyAlignment="1" applyProtection="1">
      <alignment horizontal="center" vertical="center" wrapText="1"/>
      <protection locked="0"/>
    </xf>
    <xf numFmtId="4" fontId="22" fillId="37" borderId="20" xfId="80" applyNumberFormat="1" applyFont="1" applyFill="1" applyBorder="1" applyAlignment="1">
      <alignment horizontal="right"/>
      <protection/>
    </xf>
    <xf numFmtId="0" fontId="22" fillId="35" borderId="21" xfId="80" applyFont="1" applyFill="1" applyBorder="1">
      <alignment/>
      <protection/>
    </xf>
    <xf numFmtId="0" fontId="23" fillId="35" borderId="11" xfId="80" applyFont="1" applyFill="1" applyBorder="1">
      <alignment/>
      <protection/>
    </xf>
    <xf numFmtId="0" fontId="23" fillId="35" borderId="22" xfId="80" applyFont="1" applyFill="1" applyBorder="1">
      <alignment/>
      <protection/>
    </xf>
    <xf numFmtId="0" fontId="23" fillId="35" borderId="23" xfId="80" applyFont="1" applyFill="1" applyBorder="1">
      <alignment/>
      <protection/>
    </xf>
    <xf numFmtId="0" fontId="22" fillId="35" borderId="0" xfId="80" applyFont="1" applyFill="1" applyBorder="1">
      <alignment/>
      <protection/>
    </xf>
    <xf numFmtId="0" fontId="23" fillId="35" borderId="0" xfId="80" applyFont="1" applyFill="1" applyBorder="1">
      <alignment/>
      <protection/>
    </xf>
    <xf numFmtId="0" fontId="23" fillId="35" borderId="24" xfId="80" applyFont="1" applyFill="1" applyBorder="1">
      <alignment/>
      <protection/>
    </xf>
    <xf numFmtId="4" fontId="23" fillId="35" borderId="39" xfId="80" applyNumberFormat="1" applyFont="1" applyFill="1" applyBorder="1">
      <alignment/>
      <protection/>
    </xf>
    <xf numFmtId="4" fontId="23" fillId="35" borderId="0" xfId="80" applyNumberFormat="1" applyFont="1" applyFill="1" applyBorder="1" applyAlignment="1">
      <alignment horizontal="left" vertical="center" wrapText="1"/>
      <protection/>
    </xf>
    <xf numFmtId="0" fontId="74" fillId="35" borderId="23" xfId="80" applyFont="1" applyFill="1" applyBorder="1">
      <alignment/>
      <protection/>
    </xf>
    <xf numFmtId="0" fontId="23" fillId="35" borderId="25" xfId="80" applyFont="1" applyFill="1" applyBorder="1">
      <alignment/>
      <protection/>
    </xf>
    <xf numFmtId="0" fontId="23" fillId="35" borderId="26" xfId="80" applyFont="1" applyFill="1" applyBorder="1">
      <alignment/>
      <protection/>
    </xf>
    <xf numFmtId="0" fontId="23" fillId="35" borderId="27" xfId="80" applyFont="1" applyFill="1" applyBorder="1">
      <alignment/>
      <protection/>
    </xf>
    <xf numFmtId="0" fontId="74" fillId="35" borderId="24" xfId="80" applyFont="1" applyFill="1" applyBorder="1">
      <alignment/>
      <protection/>
    </xf>
    <xf numFmtId="0" fontId="57" fillId="0" borderId="0" xfId="0" applyFont="1" applyFill="1" applyAlignment="1" applyProtection="1">
      <alignment vertical="center"/>
      <protection/>
    </xf>
    <xf numFmtId="0" fontId="62" fillId="0" borderId="0" xfId="0" applyFont="1" applyAlignment="1" applyProtection="1">
      <alignment vertical="center"/>
      <protection/>
    </xf>
    <xf numFmtId="0" fontId="57" fillId="0" borderId="0" xfId="0" applyFont="1" applyAlignment="1" applyProtection="1">
      <alignment vertical="center"/>
      <protection/>
    </xf>
    <xf numFmtId="0" fontId="75" fillId="0" borderId="0" xfId="0" applyFont="1" applyFill="1" applyAlignment="1" applyProtection="1">
      <alignment vertical="center"/>
      <protection/>
    </xf>
    <xf numFmtId="4" fontId="75" fillId="0" borderId="0" xfId="0" applyNumberFormat="1" applyFont="1" applyFill="1" applyAlignment="1" applyProtection="1">
      <alignment vertical="center"/>
      <protection/>
    </xf>
    <xf numFmtId="0" fontId="75" fillId="0" borderId="26" xfId="0" applyFont="1" applyFill="1" applyBorder="1" applyAlignment="1" applyProtection="1">
      <alignment vertical="center"/>
      <protection/>
    </xf>
    <xf numFmtId="173" fontId="75" fillId="0" borderId="26" xfId="0" applyNumberFormat="1"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76" fillId="0" borderId="0" xfId="0" applyFont="1" applyFill="1" applyAlignment="1" applyProtection="1">
      <alignment vertical="center"/>
      <protection/>
    </xf>
    <xf numFmtId="0" fontId="77" fillId="0" borderId="0" xfId="0" applyFont="1" applyFill="1" applyBorder="1" applyAlignment="1" applyProtection="1">
      <alignment vertical="center"/>
      <protection/>
    </xf>
    <xf numFmtId="0" fontId="77" fillId="0" borderId="0" xfId="0" applyFont="1" applyFill="1" applyAlignment="1" applyProtection="1">
      <alignment vertical="center"/>
      <protection/>
    </xf>
    <xf numFmtId="0" fontId="75" fillId="0" borderId="0" xfId="0" applyFont="1" applyFill="1" applyBorder="1" applyAlignment="1" applyProtection="1">
      <alignment vertical="center"/>
      <protection/>
    </xf>
    <xf numFmtId="0" fontId="75" fillId="41" borderId="0" xfId="0" applyFont="1" applyFill="1" applyAlignment="1" applyProtection="1">
      <alignment vertical="center"/>
      <protection/>
    </xf>
    <xf numFmtId="0" fontId="78" fillId="0" borderId="0" xfId="0" applyFont="1" applyFill="1" applyBorder="1" applyAlignment="1" applyProtection="1">
      <alignment vertical="center"/>
      <protection/>
    </xf>
    <xf numFmtId="0" fontId="78" fillId="0" borderId="0" xfId="0" applyFont="1" applyFill="1" applyAlignment="1" applyProtection="1">
      <alignment vertical="center"/>
      <protection/>
    </xf>
    <xf numFmtId="0" fontId="78" fillId="41" borderId="0" xfId="0" applyFont="1" applyFill="1" applyAlignment="1" applyProtection="1">
      <alignment vertical="center"/>
      <protection/>
    </xf>
    <xf numFmtId="0" fontId="79" fillId="0" borderId="0" xfId="0" applyFont="1" applyFill="1" applyBorder="1" applyAlignment="1" applyProtection="1">
      <alignment vertical="center"/>
      <protection/>
    </xf>
    <xf numFmtId="0" fontId="79" fillId="0" borderId="0" xfId="0" applyFont="1" applyFill="1" applyAlignment="1" applyProtection="1">
      <alignment vertical="center"/>
      <protection/>
    </xf>
    <xf numFmtId="0" fontId="80" fillId="0" borderId="0" xfId="0" applyFont="1" applyFill="1" applyBorder="1" applyAlignment="1" applyProtection="1">
      <alignment vertical="center"/>
      <protection/>
    </xf>
    <xf numFmtId="173" fontId="75" fillId="0" borderId="0" xfId="0" applyNumberFormat="1" applyFont="1" applyFill="1" applyAlignment="1" applyProtection="1">
      <alignment vertical="center"/>
      <protection/>
    </xf>
    <xf numFmtId="0" fontId="72" fillId="0" borderId="0" xfId="0" applyFont="1" applyFill="1" applyAlignment="1" applyProtection="1">
      <alignment vertical="center"/>
      <protection/>
    </xf>
    <xf numFmtId="0" fontId="68" fillId="0" borderId="0" xfId="0" applyFont="1" applyFill="1" applyAlignment="1" applyProtection="1">
      <alignment vertical="center"/>
      <protection/>
    </xf>
    <xf numFmtId="0" fontId="81" fillId="0" borderId="0" xfId="0" applyFont="1" applyAlignment="1" applyProtection="1">
      <alignment vertical="center"/>
      <protection/>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38" fillId="0" borderId="0" xfId="0" applyFont="1" applyFill="1" applyAlignment="1" applyProtection="1">
      <alignment vertical="center" wrapText="1"/>
      <protection/>
    </xf>
    <xf numFmtId="0" fontId="21" fillId="0" borderId="0" xfId="0" applyFont="1" applyBorder="1" applyAlignment="1" applyProtection="1">
      <alignment vertical="center"/>
      <protection/>
    </xf>
    <xf numFmtId="4" fontId="21" fillId="0" borderId="0" xfId="0" applyNumberFormat="1" applyFont="1" applyFill="1" applyBorder="1" applyAlignment="1" applyProtection="1">
      <alignment vertical="center"/>
      <protection/>
    </xf>
    <xf numFmtId="0" fontId="21" fillId="0" borderId="24" xfId="0" applyFont="1" applyBorder="1" applyAlignment="1" applyProtection="1">
      <alignment vertical="center"/>
      <protection/>
    </xf>
    <xf numFmtId="4" fontId="21" fillId="0" borderId="0" xfId="0" applyNumberFormat="1" applyFont="1" applyFill="1" applyAlignment="1" applyProtection="1">
      <alignment vertical="center"/>
      <protection/>
    </xf>
    <xf numFmtId="0" fontId="21" fillId="0" borderId="25" xfId="0" applyFont="1" applyFill="1" applyBorder="1" applyAlignment="1" applyProtection="1">
      <alignment vertical="center"/>
      <protection/>
    </xf>
    <xf numFmtId="0" fontId="38" fillId="0" borderId="26" xfId="0" applyFont="1" applyFill="1" applyBorder="1" applyAlignment="1" applyProtection="1">
      <alignment vertical="center" wrapText="1"/>
      <protection/>
    </xf>
    <xf numFmtId="0" fontId="21" fillId="0" borderId="27" xfId="0" applyFont="1" applyBorder="1" applyAlignment="1" applyProtection="1">
      <alignment vertical="center"/>
      <protection/>
    </xf>
    <xf numFmtId="0" fontId="21" fillId="0" borderId="26" xfId="0" applyFont="1" applyFill="1" applyBorder="1" applyAlignment="1" applyProtection="1">
      <alignment vertical="center"/>
      <protection/>
    </xf>
    <xf numFmtId="4" fontId="21" fillId="0" borderId="26" xfId="0" applyNumberFormat="1" applyFont="1" applyFill="1" applyBorder="1" applyAlignment="1" applyProtection="1">
      <alignment vertical="center"/>
      <protection/>
    </xf>
    <xf numFmtId="173" fontId="21" fillId="0" borderId="26" xfId="0" applyNumberFormat="1" applyFont="1" applyFill="1" applyBorder="1" applyAlignment="1" applyProtection="1">
      <alignment vertical="center"/>
      <protection/>
    </xf>
    <xf numFmtId="0" fontId="22" fillId="39" borderId="37" xfId="0" applyFont="1" applyFill="1" applyBorder="1" applyAlignment="1" applyProtection="1">
      <alignment horizontal="center" vertical="center" wrapText="1"/>
      <protection/>
    </xf>
    <xf numFmtId="0" fontId="22" fillId="39" borderId="37" xfId="0" applyFont="1" applyFill="1" applyBorder="1" applyAlignment="1" applyProtection="1">
      <alignment horizontal="center" vertical="center"/>
      <protection/>
    </xf>
    <xf numFmtId="0" fontId="82" fillId="37" borderId="20" xfId="0" applyFont="1" applyFill="1" applyBorder="1" applyAlignment="1" applyProtection="1">
      <alignment vertical="center"/>
      <protection/>
    </xf>
    <xf numFmtId="0" fontId="82" fillId="37" borderId="20" xfId="0" applyFont="1" applyFill="1" applyBorder="1" applyAlignment="1" applyProtection="1">
      <alignment horizontal="center" vertical="center"/>
      <protection/>
    </xf>
    <xf numFmtId="0" fontId="23" fillId="37" borderId="20" xfId="0" applyFont="1" applyFill="1" applyBorder="1" applyAlignment="1" applyProtection="1">
      <alignment horizontal="center" vertical="center" wrapText="1"/>
      <protection/>
    </xf>
    <xf numFmtId="1" fontId="82" fillId="37" borderId="20" xfId="0" applyNumberFormat="1" applyFont="1" applyFill="1" applyBorder="1" applyAlignment="1" applyProtection="1">
      <alignment horizontal="center" vertical="center"/>
      <protection/>
    </xf>
    <xf numFmtId="172" fontId="82" fillId="37" borderId="20" xfId="0" applyNumberFormat="1" applyFont="1" applyFill="1" applyBorder="1" applyAlignment="1" applyProtection="1">
      <alignment horizontal="center" vertical="center"/>
      <protection/>
    </xf>
    <xf numFmtId="0" fontId="82" fillId="37"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172" fontId="82" fillId="37" borderId="20" xfId="0" applyNumberFormat="1" applyFont="1" applyFill="1" applyBorder="1" applyAlignment="1" applyProtection="1">
      <alignment horizontal="center" vertical="center" wrapText="1"/>
      <protection/>
    </xf>
    <xf numFmtId="4" fontId="82" fillId="36" borderId="20" xfId="0" applyNumberFormat="1" applyFont="1" applyFill="1" applyBorder="1" applyAlignment="1" applyProtection="1">
      <alignment vertical="center"/>
      <protection locked="0"/>
    </xf>
    <xf numFmtId="0" fontId="83" fillId="35" borderId="11" xfId="0" applyFont="1" applyFill="1" applyBorder="1" applyAlignment="1" applyProtection="1">
      <alignment vertical="center"/>
      <protection/>
    </xf>
    <xf numFmtId="0" fontId="83" fillId="35" borderId="22" xfId="0" applyFont="1" applyFill="1" applyBorder="1" applyAlignment="1" applyProtection="1">
      <alignment vertical="center"/>
      <protection/>
    </xf>
    <xf numFmtId="0" fontId="84" fillId="35" borderId="23" xfId="0" applyFont="1" applyFill="1" applyBorder="1" applyAlignment="1" applyProtection="1">
      <alignment vertical="center"/>
      <protection/>
    </xf>
    <xf numFmtId="0" fontId="83" fillId="35" borderId="0" xfId="0" applyFont="1" applyFill="1" applyBorder="1" applyAlignment="1" applyProtection="1">
      <alignment vertical="center"/>
      <protection/>
    </xf>
    <xf numFmtId="0" fontId="83" fillId="35" borderId="24" xfId="0" applyFont="1" applyFill="1" applyBorder="1" applyAlignment="1" applyProtection="1">
      <alignment vertical="center"/>
      <protection/>
    </xf>
    <xf numFmtId="0" fontId="85" fillId="35" borderId="0" xfId="0" applyFont="1" applyFill="1" applyBorder="1" applyAlignment="1" applyProtection="1">
      <alignment vertical="center"/>
      <protection/>
    </xf>
    <xf numFmtId="0" fontId="86" fillId="35" borderId="0" xfId="0" applyFont="1" applyFill="1" applyBorder="1" applyAlignment="1" applyProtection="1">
      <alignment vertical="center"/>
      <protection/>
    </xf>
    <xf numFmtId="0" fontId="85" fillId="35" borderId="24" xfId="0" applyFont="1" applyFill="1" applyBorder="1" applyAlignment="1" applyProtection="1">
      <alignment vertical="center"/>
      <protection/>
    </xf>
    <xf numFmtId="0" fontId="23" fillId="35" borderId="23" xfId="0" applyFont="1" applyFill="1" applyBorder="1" applyAlignment="1" applyProtection="1">
      <alignment vertical="center"/>
      <protection/>
    </xf>
    <xf numFmtId="0" fontId="22" fillId="35" borderId="23" xfId="0" applyFont="1" applyFill="1" applyBorder="1" applyAlignment="1" applyProtection="1">
      <alignment vertical="center"/>
      <protection/>
    </xf>
    <xf numFmtId="0" fontId="82" fillId="35" borderId="23" xfId="0" applyFont="1" applyFill="1" applyBorder="1" applyAlignment="1" applyProtection="1">
      <alignment vertical="center"/>
      <protection/>
    </xf>
    <xf numFmtId="0" fontId="74" fillId="35" borderId="23" xfId="0" applyFont="1" applyFill="1" applyBorder="1" applyAlignment="1" applyProtection="1">
      <alignment vertical="center"/>
      <protection/>
    </xf>
    <xf numFmtId="0" fontId="83" fillId="35" borderId="23" xfId="0" applyFont="1" applyFill="1" applyBorder="1" applyAlignment="1" applyProtection="1">
      <alignment vertical="center"/>
      <protection/>
    </xf>
    <xf numFmtId="0" fontId="74" fillId="35" borderId="25" xfId="0" applyFont="1" applyFill="1" applyBorder="1" applyAlignment="1" applyProtection="1">
      <alignment vertical="center"/>
      <protection/>
    </xf>
    <xf numFmtId="0" fontId="74" fillId="35" borderId="0" xfId="0" applyFont="1" applyFill="1" applyBorder="1" applyAlignment="1" applyProtection="1">
      <alignment vertical="center"/>
      <protection/>
    </xf>
    <xf numFmtId="0" fontId="74" fillId="35" borderId="24" xfId="0" applyFont="1" applyFill="1" applyBorder="1" applyAlignment="1" applyProtection="1">
      <alignment vertical="center"/>
      <protection/>
    </xf>
    <xf numFmtId="0" fontId="23" fillId="35" borderId="24" xfId="0" applyFont="1" applyFill="1" applyBorder="1" applyAlignment="1" applyProtection="1">
      <alignment vertical="center"/>
      <protection/>
    </xf>
    <xf numFmtId="0" fontId="22" fillId="35" borderId="24" xfId="0" applyFont="1" applyFill="1" applyBorder="1" applyAlignment="1" applyProtection="1">
      <alignment vertical="center"/>
      <protection/>
    </xf>
    <xf numFmtId="0" fontId="82" fillId="35" borderId="24" xfId="0" applyFont="1" applyFill="1" applyBorder="1" applyAlignment="1" applyProtection="1">
      <alignment vertical="center"/>
      <protection/>
    </xf>
    <xf numFmtId="0" fontId="74" fillId="35" borderId="27" xfId="0" applyFont="1" applyFill="1" applyBorder="1" applyAlignment="1" applyProtection="1">
      <alignment vertical="center"/>
      <protection/>
    </xf>
    <xf numFmtId="0" fontId="22" fillId="35" borderId="0" xfId="0" applyFont="1" applyFill="1" applyBorder="1" applyAlignment="1" applyProtection="1">
      <alignment horizontal="right" vertical="center"/>
      <protection/>
    </xf>
    <xf numFmtId="0" fontId="23" fillId="35" borderId="26" xfId="0" applyFont="1" applyFill="1" applyBorder="1" applyAlignment="1" applyProtection="1">
      <alignment horizontal="left" vertical="center"/>
      <protection/>
    </xf>
    <xf numFmtId="0" fontId="74" fillId="35" borderId="26" xfId="0" applyFont="1" applyFill="1" applyBorder="1" applyAlignment="1" applyProtection="1">
      <alignment vertical="center"/>
      <protection/>
    </xf>
    <xf numFmtId="0" fontId="38" fillId="0" borderId="0" xfId="0" applyFont="1" applyFill="1" applyBorder="1" applyAlignment="1">
      <alignment vertical="center"/>
    </xf>
    <xf numFmtId="0" fontId="72" fillId="0" borderId="0" xfId="0" applyFont="1" applyFill="1" applyBorder="1" applyAlignment="1">
      <alignment vertical="center"/>
    </xf>
    <xf numFmtId="0" fontId="23" fillId="0" borderId="0" xfId="80" applyFont="1" applyFill="1">
      <alignment/>
      <protection/>
    </xf>
    <xf numFmtId="0" fontId="21" fillId="0" borderId="0" xfId="80" applyFont="1" applyFill="1" applyAlignment="1">
      <alignment horizontal="left" vertical="top"/>
      <protection/>
    </xf>
    <xf numFmtId="0" fontId="72" fillId="0" borderId="0" xfId="0" applyFont="1" applyFill="1" applyAlignment="1">
      <alignment vertical="center"/>
    </xf>
    <xf numFmtId="0" fontId="72" fillId="0" borderId="0" xfId="0" applyFont="1" applyAlignment="1">
      <alignment vertical="center"/>
    </xf>
    <xf numFmtId="0" fontId="38" fillId="0" borderId="0" xfId="0" applyFont="1" applyAlignment="1">
      <alignment/>
    </xf>
    <xf numFmtId="0" fontId="21" fillId="0" borderId="0" xfId="0" applyFont="1" applyBorder="1" applyAlignment="1">
      <alignment vertical="top"/>
    </xf>
    <xf numFmtId="0" fontId="72" fillId="0" borderId="0" xfId="0" applyFont="1" applyAlignment="1">
      <alignment vertical="top"/>
    </xf>
    <xf numFmtId="0" fontId="72" fillId="0" borderId="0" xfId="0" applyFont="1" applyAlignment="1">
      <alignment/>
    </xf>
    <xf numFmtId="0" fontId="72" fillId="0" borderId="0" xfId="0" applyFont="1" applyAlignment="1">
      <alignment horizontal="center"/>
    </xf>
    <xf numFmtId="0" fontId="72" fillId="35" borderId="21" xfId="0" applyFont="1" applyFill="1" applyBorder="1" applyAlignment="1">
      <alignment wrapText="1"/>
    </xf>
    <xf numFmtId="0" fontId="72" fillId="35" borderId="11" xfId="0" applyFont="1" applyFill="1" applyBorder="1" applyAlignment="1">
      <alignment wrapText="1"/>
    </xf>
    <xf numFmtId="0" fontId="57" fillId="35" borderId="11" xfId="0" applyFont="1" applyFill="1" applyBorder="1" applyAlignment="1">
      <alignment wrapText="1"/>
    </xf>
    <xf numFmtId="0" fontId="57" fillId="35" borderId="22" xfId="0" applyFont="1" applyFill="1" applyBorder="1" applyAlignment="1">
      <alignment wrapText="1"/>
    </xf>
    <xf numFmtId="2" fontId="57" fillId="35" borderId="11" xfId="0" applyNumberFormat="1" applyFont="1" applyFill="1" applyBorder="1" applyAlignment="1">
      <alignment vertical="center"/>
    </xf>
    <xf numFmtId="0" fontId="57" fillId="35" borderId="23" xfId="0" applyFont="1" applyFill="1" applyBorder="1" applyAlignment="1">
      <alignment vertical="center" wrapText="1"/>
    </xf>
    <xf numFmtId="0" fontId="111" fillId="35" borderId="0" xfId="0" applyFont="1" applyFill="1" applyBorder="1" applyAlignment="1">
      <alignment/>
    </xf>
    <xf numFmtId="0" fontId="111" fillId="35" borderId="0" xfId="0" applyFont="1" applyFill="1" applyBorder="1" applyAlignment="1">
      <alignment vertical="center"/>
    </xf>
    <xf numFmtId="0" fontId="111" fillId="35" borderId="0" xfId="0" applyFont="1" applyFill="1" applyBorder="1" applyAlignment="1">
      <alignment vertical="top"/>
    </xf>
    <xf numFmtId="2" fontId="57" fillId="35" borderId="26" xfId="0" applyNumberFormat="1" applyFont="1" applyFill="1" applyBorder="1" applyAlignment="1">
      <alignment vertical="center"/>
    </xf>
    <xf numFmtId="0" fontId="57" fillId="35" borderId="27" xfId="0" applyFont="1" applyFill="1" applyBorder="1" applyAlignment="1">
      <alignment horizontal="center" vertical="center"/>
    </xf>
    <xf numFmtId="4" fontId="63" fillId="35" borderId="24" xfId="0" applyNumberFormat="1" applyFont="1" applyFill="1" applyBorder="1" applyAlignment="1">
      <alignment horizontal="center" vertical="center"/>
    </xf>
    <xf numFmtId="4" fontId="57" fillId="35" borderId="24" xfId="0" applyNumberFormat="1" applyFont="1" applyFill="1" applyBorder="1" applyAlignment="1">
      <alignment horizontal="center" vertical="center" wrapText="1"/>
    </xf>
    <xf numFmtId="2" fontId="57" fillId="35" borderId="24" xfId="0" applyNumberFormat="1" applyFont="1" applyFill="1" applyBorder="1" applyAlignment="1">
      <alignment horizontal="center" vertical="center" wrapText="1"/>
    </xf>
    <xf numFmtId="0" fontId="22" fillId="35" borderId="24" xfId="0" applyFont="1" applyFill="1" applyBorder="1" applyAlignment="1">
      <alignment vertical="center"/>
    </xf>
    <xf numFmtId="0" fontId="21" fillId="0" borderId="0" xfId="0" applyFont="1" applyFill="1" applyAlignment="1" applyProtection="1">
      <alignment horizontal="left" vertical="top" wrapText="1"/>
      <protection/>
    </xf>
    <xf numFmtId="2" fontId="38" fillId="36" borderId="20" xfId="0" applyNumberFormat="1" applyFont="1" applyFill="1" applyBorder="1" applyAlignment="1" applyProtection="1">
      <alignment vertical="center"/>
      <protection/>
    </xf>
    <xf numFmtId="0" fontId="21" fillId="0" borderId="11" xfId="0" applyFont="1" applyFill="1" applyBorder="1" applyAlignment="1">
      <alignment vertical="center"/>
    </xf>
    <xf numFmtId="2" fontId="21" fillId="0" borderId="22" xfId="0" applyNumberFormat="1" applyFont="1" applyFill="1" applyBorder="1" applyAlignment="1">
      <alignment vertical="center"/>
    </xf>
    <xf numFmtId="2" fontId="21" fillId="36" borderId="20" xfId="0" applyNumberFormat="1" applyFont="1" applyFill="1" applyBorder="1" applyAlignment="1">
      <alignment vertical="center"/>
    </xf>
    <xf numFmtId="2" fontId="38" fillId="0" borderId="24" xfId="0" applyNumberFormat="1" applyFont="1" applyFill="1" applyBorder="1" applyAlignment="1">
      <alignment vertical="center"/>
    </xf>
    <xf numFmtId="2" fontId="21" fillId="0" borderId="24" xfId="0" applyNumberFormat="1" applyFont="1" applyFill="1" applyBorder="1" applyAlignment="1">
      <alignment vertical="center"/>
    </xf>
    <xf numFmtId="2" fontId="21" fillId="0" borderId="27" xfId="0" applyNumberFormat="1" applyFont="1" applyFill="1" applyBorder="1" applyAlignment="1">
      <alignment horizontal="left" vertical="center"/>
    </xf>
    <xf numFmtId="4" fontId="22" fillId="0" borderId="37" xfId="0" applyNumberFormat="1" applyFont="1" applyFill="1" applyBorder="1" applyAlignment="1">
      <alignment horizontal="center" vertical="center" wrapText="1"/>
    </xf>
    <xf numFmtId="2" fontId="22" fillId="37" borderId="20" xfId="0" applyNumberFormat="1" applyFont="1" applyFill="1" applyBorder="1" applyAlignment="1">
      <alignment horizontal="center" vertical="center" wrapText="1"/>
    </xf>
    <xf numFmtId="1" fontId="23" fillId="37" borderId="20" xfId="0" applyNumberFormat="1" applyFont="1" applyFill="1" applyBorder="1" applyAlignment="1" applyProtection="1">
      <alignment horizontal="center" vertical="center"/>
      <protection/>
    </xf>
    <xf numFmtId="4" fontId="22" fillId="36" borderId="20" xfId="0" applyNumberFormat="1" applyFont="1" applyFill="1" applyBorder="1" applyAlignment="1" applyProtection="1">
      <alignment horizontal="center" vertical="center"/>
      <protection locked="0"/>
    </xf>
    <xf numFmtId="0" fontId="27" fillId="0" borderId="0" xfId="0" applyFont="1" applyAlignment="1">
      <alignment/>
    </xf>
    <xf numFmtId="0" fontId="23" fillId="37" borderId="20" xfId="0" applyFont="1" applyFill="1" applyBorder="1" applyAlignment="1">
      <alignment horizontal="center" vertical="center"/>
    </xf>
    <xf numFmtId="0" fontId="23" fillId="37" borderId="20" xfId="0" applyFont="1" applyFill="1" applyBorder="1" applyAlignment="1">
      <alignment horizontal="center" vertical="center" wrapText="1"/>
    </xf>
    <xf numFmtId="0" fontId="23" fillId="37" borderId="20" xfId="0" applyFont="1" applyFill="1" applyBorder="1" applyAlignment="1">
      <alignment/>
    </xf>
    <xf numFmtId="0" fontId="38" fillId="35" borderId="23" xfId="0" applyFont="1" applyFill="1" applyBorder="1" applyAlignment="1">
      <alignment vertical="center"/>
    </xf>
    <xf numFmtId="0" fontId="22" fillId="35" borderId="0" xfId="0" applyFont="1" applyFill="1" applyBorder="1" applyAlignment="1">
      <alignment vertical="center"/>
    </xf>
    <xf numFmtId="2" fontId="57" fillId="35" borderId="0" xfId="0" applyNumberFormat="1" applyFont="1" applyFill="1" applyBorder="1" applyAlignment="1">
      <alignment vertical="center"/>
    </xf>
    <xf numFmtId="0" fontId="71" fillId="35" borderId="23" xfId="0" applyFont="1" applyFill="1" applyBorder="1" applyAlignment="1">
      <alignment vertical="center"/>
    </xf>
    <xf numFmtId="2" fontId="23" fillId="35" borderId="0" xfId="0" applyNumberFormat="1" applyFont="1" applyFill="1" applyBorder="1" applyAlignment="1">
      <alignment horizontal="center" vertical="center" wrapText="1"/>
    </xf>
    <xf numFmtId="3" fontId="23" fillId="35" borderId="0" xfId="0" applyNumberFormat="1" applyFont="1" applyFill="1" applyBorder="1" applyAlignment="1">
      <alignment horizontal="center" vertical="center" wrapText="1"/>
    </xf>
    <xf numFmtId="2" fontId="74" fillId="35" borderId="0" xfId="0" applyNumberFormat="1" applyFont="1" applyFill="1" applyBorder="1" applyAlignment="1">
      <alignment horizontal="center" vertical="center" wrapText="1"/>
    </xf>
    <xf numFmtId="0" fontId="63" fillId="35" borderId="26" xfId="0" applyNumberFormat="1" applyFont="1" applyFill="1" applyBorder="1" applyAlignment="1">
      <alignment horizontal="right" vertical="center"/>
    </xf>
    <xf numFmtId="0" fontId="57" fillId="35" borderId="26" xfId="0" applyFont="1" applyFill="1" applyBorder="1" applyAlignment="1">
      <alignment horizontal="right" vertical="center"/>
    </xf>
    <xf numFmtId="4" fontId="63" fillId="35" borderId="26" xfId="0" applyNumberFormat="1" applyFont="1" applyFill="1" applyBorder="1" applyAlignment="1">
      <alignment horizontal="center" vertical="center"/>
    </xf>
    <xf numFmtId="0" fontId="23" fillId="35" borderId="40" xfId="0" applyFont="1" applyFill="1" applyBorder="1" applyAlignment="1">
      <alignment vertical="center"/>
    </xf>
    <xf numFmtId="0" fontId="22" fillId="37" borderId="20" xfId="0" applyFont="1" applyFill="1" applyBorder="1" applyAlignment="1">
      <alignment horizontal="center" vertical="center"/>
    </xf>
    <xf numFmtId="0" fontId="22" fillId="37" borderId="20" xfId="0" applyFont="1" applyFill="1" applyBorder="1" applyAlignment="1">
      <alignment horizontal="center" vertical="center" wrapText="1"/>
    </xf>
    <xf numFmtId="191" fontId="23" fillId="37" borderId="20" xfId="0" applyNumberFormat="1" applyFont="1" applyFill="1" applyBorder="1" applyAlignment="1">
      <alignment horizontal="center"/>
    </xf>
    <xf numFmtId="3" fontId="23" fillId="36" borderId="20" xfId="0" applyNumberFormat="1" applyFont="1" applyFill="1" applyBorder="1" applyAlignment="1" applyProtection="1">
      <alignment/>
      <protection locked="0"/>
    </xf>
    <xf numFmtId="0" fontId="38" fillId="35" borderId="21" xfId="0" applyFont="1" applyFill="1" applyBorder="1" applyAlignment="1">
      <alignment/>
    </xf>
    <xf numFmtId="0" fontId="22" fillId="35" borderId="11" xfId="0" applyFont="1" applyFill="1" applyBorder="1" applyAlignment="1">
      <alignment wrapText="1"/>
    </xf>
    <xf numFmtId="0" fontId="22" fillId="35" borderId="22" xfId="0" applyFont="1" applyFill="1" applyBorder="1" applyAlignment="1">
      <alignment wrapText="1"/>
    </xf>
    <xf numFmtId="0" fontId="57" fillId="35" borderId="23" xfId="0" applyFont="1" applyFill="1" applyBorder="1" applyAlignment="1">
      <alignment/>
    </xf>
    <xf numFmtId="0" fontId="57" fillId="35" borderId="0" xfId="0" applyFont="1" applyFill="1" applyBorder="1" applyAlignment="1">
      <alignment/>
    </xf>
    <xf numFmtId="0" fontId="57" fillId="35" borderId="24" xfId="0" applyFont="1" applyFill="1" applyBorder="1" applyAlignment="1">
      <alignment/>
    </xf>
    <xf numFmtId="0" fontId="21" fillId="35" borderId="23" xfId="0" applyFont="1" applyFill="1" applyBorder="1" applyAlignment="1">
      <alignment horizontal="center" vertical="center"/>
    </xf>
    <xf numFmtId="0" fontId="21" fillId="35" borderId="23" xfId="0" applyFont="1" applyFill="1" applyBorder="1" applyAlignment="1">
      <alignment/>
    </xf>
    <xf numFmtId="0" fontId="21" fillId="35" borderId="0" xfId="0" applyFont="1" applyFill="1" applyBorder="1" applyAlignment="1">
      <alignment/>
    </xf>
    <xf numFmtId="0" fontId="21" fillId="35" borderId="24" xfId="0" applyFont="1" applyFill="1" applyBorder="1" applyAlignment="1">
      <alignment/>
    </xf>
    <xf numFmtId="0" fontId="21" fillId="35" borderId="24" xfId="0" applyFont="1" applyFill="1" applyBorder="1" applyAlignment="1">
      <alignment horizontal="center" vertical="center"/>
    </xf>
    <xf numFmtId="0" fontId="38" fillId="35" borderId="21" xfId="0" applyFont="1" applyFill="1" applyBorder="1" applyAlignment="1">
      <alignment/>
    </xf>
    <xf numFmtId="0" fontId="23" fillId="35" borderId="23" xfId="0" applyFont="1" applyFill="1" applyBorder="1" applyAlignment="1">
      <alignment/>
    </xf>
    <xf numFmtId="0" fontId="23" fillId="35" borderId="0" xfId="0" applyFont="1" applyFill="1" applyBorder="1" applyAlignment="1">
      <alignment/>
    </xf>
    <xf numFmtId="0" fontId="23" fillId="35" borderId="24" xfId="0" applyFont="1" applyFill="1" applyBorder="1" applyAlignment="1">
      <alignment/>
    </xf>
    <xf numFmtId="0" fontId="23" fillId="35" borderId="23" xfId="0" applyFont="1" applyFill="1" applyBorder="1" applyAlignment="1">
      <alignment horizontal="center" vertical="center"/>
    </xf>
    <xf numFmtId="0" fontId="23" fillId="35" borderId="24" xfId="0" applyFont="1" applyFill="1" applyBorder="1" applyAlignment="1">
      <alignment horizontal="center" vertical="center"/>
    </xf>
    <xf numFmtId="0" fontId="38" fillId="0" borderId="11" xfId="0" applyFont="1" applyFill="1" applyBorder="1" applyAlignment="1">
      <alignment horizontal="center" vertical="center"/>
    </xf>
    <xf numFmtId="0" fontId="57" fillId="0" borderId="26" xfId="0" applyFont="1" applyBorder="1" applyAlignment="1">
      <alignment vertical="center"/>
    </xf>
    <xf numFmtId="0" fontId="21" fillId="0" borderId="0" xfId="0" applyFont="1" applyFill="1" applyAlignment="1">
      <alignment horizontal="right" vertical="top"/>
    </xf>
    <xf numFmtId="0" fontId="34" fillId="0" borderId="0" xfId="0" applyFont="1" applyBorder="1" applyAlignment="1">
      <alignment vertical="top"/>
    </xf>
    <xf numFmtId="0" fontId="34" fillId="0" borderId="0" xfId="0" applyFont="1" applyAlignment="1">
      <alignment vertical="center"/>
    </xf>
    <xf numFmtId="0" fontId="21" fillId="0" borderId="0" xfId="0" applyFont="1" applyAlignment="1">
      <alignment horizontal="right" vertical="center"/>
    </xf>
    <xf numFmtId="0" fontId="34" fillId="0" borderId="0" xfId="0" applyFont="1" applyFill="1" applyAlignment="1">
      <alignment horizontal="left" vertical="center" wrapText="1"/>
    </xf>
    <xf numFmtId="0" fontId="68" fillId="0" borderId="0" xfId="80" applyFont="1" applyFill="1" applyBorder="1" applyAlignment="1">
      <alignment vertical="top" wrapText="1"/>
      <protection/>
    </xf>
    <xf numFmtId="0" fontId="68" fillId="0" borderId="0" xfId="80" applyFont="1" applyFill="1" applyBorder="1" applyAlignment="1">
      <alignment vertical="top"/>
      <protection/>
    </xf>
    <xf numFmtId="0" fontId="21" fillId="0" borderId="0" xfId="0" applyFont="1" applyFill="1" applyAlignment="1" applyProtection="1">
      <alignment vertical="top" wrapText="1"/>
      <protection/>
    </xf>
    <xf numFmtId="0" fontId="22" fillId="0" borderId="0" xfId="0" applyFont="1" applyAlignment="1" applyProtection="1">
      <alignment horizontal="right" vertical="top" wrapText="1"/>
      <protection/>
    </xf>
    <xf numFmtId="0" fontId="38" fillId="0" borderId="21" xfId="0" applyFont="1" applyFill="1" applyBorder="1" applyAlignment="1" applyProtection="1">
      <alignment vertical="center"/>
      <protection/>
    </xf>
    <xf numFmtId="0" fontId="75" fillId="0" borderId="11" xfId="0" applyFont="1" applyFill="1" applyBorder="1" applyAlignment="1" applyProtection="1">
      <alignment vertical="center"/>
      <protection/>
    </xf>
    <xf numFmtId="0" fontId="38" fillId="0" borderId="11" xfId="0" applyFont="1" applyFill="1" applyBorder="1" applyAlignment="1" applyProtection="1">
      <alignment vertical="center"/>
      <protection/>
    </xf>
    <xf numFmtId="0" fontId="21" fillId="0" borderId="22" xfId="0" applyFont="1" applyBorder="1" applyAlignment="1" applyProtection="1">
      <alignment vertical="center"/>
      <protection/>
    </xf>
    <xf numFmtId="0" fontId="75" fillId="0" borderId="23" xfId="0" applyFont="1" applyFill="1" applyBorder="1" applyAlignment="1" applyProtection="1">
      <alignment vertical="center"/>
      <protection/>
    </xf>
    <xf numFmtId="0" fontId="21" fillId="0" borderId="0" xfId="0" applyFont="1" applyFill="1" applyBorder="1" applyAlignment="1" applyProtection="1">
      <alignment horizontal="right" vertical="center"/>
      <protection/>
    </xf>
    <xf numFmtId="0" fontId="34" fillId="0" borderId="0" xfId="0" applyFont="1" applyFill="1" applyAlignment="1">
      <alignment horizontal="left" vertical="center"/>
    </xf>
    <xf numFmtId="2" fontId="21" fillId="0" borderId="0" xfId="0" applyNumberFormat="1" applyFont="1" applyFill="1" applyAlignment="1">
      <alignment vertical="center"/>
    </xf>
    <xf numFmtId="0" fontId="87" fillId="0" borderId="0" xfId="0" applyFont="1" applyFill="1" applyAlignment="1">
      <alignment vertical="center"/>
    </xf>
    <xf numFmtId="0" fontId="22" fillId="39" borderId="37" xfId="0" applyFont="1" applyFill="1" applyBorder="1" applyAlignment="1">
      <alignment horizontal="center" vertical="center" wrapText="1"/>
    </xf>
    <xf numFmtId="2" fontId="22" fillId="0" borderId="37" xfId="0" applyNumberFormat="1" applyFont="1" applyFill="1" applyBorder="1" applyAlignment="1">
      <alignment horizontal="center" vertical="center" wrapText="1"/>
    </xf>
    <xf numFmtId="3" fontId="22" fillId="0" borderId="20" xfId="0" applyNumberFormat="1" applyFont="1" applyFill="1" applyBorder="1" applyAlignment="1">
      <alignment horizontal="center" vertical="center" wrapText="1"/>
    </xf>
    <xf numFmtId="0" fontId="22" fillId="40" borderId="41" xfId="0" applyFont="1" applyFill="1" applyBorder="1" applyAlignment="1">
      <alignment vertical="center" wrapText="1"/>
    </xf>
    <xf numFmtId="2" fontId="23" fillId="40" borderId="20" xfId="0" applyNumberFormat="1" applyFont="1" applyFill="1" applyBorder="1" applyAlignment="1">
      <alignment horizontal="center" vertical="center" wrapText="1"/>
    </xf>
    <xf numFmtId="0" fontId="23" fillId="40" borderId="20" xfId="0" applyFont="1" applyFill="1" applyBorder="1" applyAlignment="1">
      <alignment horizontal="center" vertical="center" wrapText="1"/>
    </xf>
    <xf numFmtId="0" fontId="23" fillId="40" borderId="37" xfId="0" applyFont="1" applyFill="1" applyBorder="1" applyAlignment="1">
      <alignment horizontal="center" vertical="center" wrapText="1"/>
    </xf>
    <xf numFmtId="2" fontId="23" fillId="40" borderId="37" xfId="0" applyNumberFormat="1" applyFont="1" applyFill="1" applyBorder="1" applyAlignment="1">
      <alignment horizontal="center" vertical="center" wrapText="1"/>
    </xf>
    <xf numFmtId="4" fontId="23" fillId="37" borderId="20" xfId="0" applyNumberFormat="1" applyFont="1" applyFill="1" applyBorder="1" applyAlignment="1" applyProtection="1">
      <alignment horizontal="center" vertical="center"/>
      <protection/>
    </xf>
    <xf numFmtId="0" fontId="22" fillId="37" borderId="20" xfId="0" applyFont="1" applyFill="1" applyBorder="1" applyAlignment="1">
      <alignment horizontal="left" vertical="center"/>
    </xf>
    <xf numFmtId="0" fontId="23" fillId="37" borderId="42" xfId="0" applyFont="1" applyFill="1" applyBorder="1" applyAlignment="1">
      <alignment horizontal="left" vertical="center"/>
    </xf>
    <xf numFmtId="0" fontId="23" fillId="37" borderId="43" xfId="0" applyFont="1" applyFill="1" applyBorder="1" applyAlignment="1">
      <alignment horizontal="left" vertical="center"/>
    </xf>
    <xf numFmtId="0" fontId="23" fillId="37" borderId="44" xfId="0" applyFont="1" applyFill="1" applyBorder="1" applyAlignment="1">
      <alignment horizontal="left" vertical="center"/>
    </xf>
    <xf numFmtId="2" fontId="23" fillId="36" borderId="20" xfId="0" applyNumberFormat="1" applyFont="1" applyFill="1" applyBorder="1" applyAlignment="1" applyProtection="1">
      <alignment horizontal="center" vertical="center"/>
      <protection locked="0"/>
    </xf>
    <xf numFmtId="4" fontId="23" fillId="36" borderId="20" xfId="0" applyNumberFormat="1" applyFont="1" applyFill="1" applyBorder="1" applyAlignment="1" applyProtection="1">
      <alignment horizontal="center" vertical="center"/>
      <protection locked="0"/>
    </xf>
    <xf numFmtId="0" fontId="23" fillId="38" borderId="0" xfId="0" applyFont="1" applyFill="1" applyBorder="1" applyAlignment="1">
      <alignment vertical="center"/>
    </xf>
    <xf numFmtId="0" fontId="23" fillId="40" borderId="45" xfId="0" applyFont="1" applyFill="1" applyBorder="1" applyAlignment="1">
      <alignment horizontal="center" vertical="center" wrapText="1"/>
    </xf>
    <xf numFmtId="0" fontId="21" fillId="35" borderId="11" xfId="0" applyFont="1" applyFill="1" applyBorder="1" applyAlignment="1">
      <alignment vertical="center"/>
    </xf>
    <xf numFmtId="0" fontId="21" fillId="35" borderId="11" xfId="0" applyFont="1" applyFill="1" applyBorder="1" applyAlignment="1">
      <alignment vertical="center"/>
    </xf>
    <xf numFmtId="0" fontId="21" fillId="35" borderId="22" xfId="0" applyFont="1" applyFill="1" applyBorder="1" applyAlignment="1">
      <alignment vertical="center"/>
    </xf>
    <xf numFmtId="0" fontId="23" fillId="35" borderId="0" xfId="0" applyFont="1" applyFill="1" applyBorder="1" applyAlignment="1">
      <alignment vertical="center" wrapText="1"/>
    </xf>
    <xf numFmtId="2" fontId="23" fillId="35" borderId="39" xfId="0" applyNumberFormat="1" applyFont="1" applyFill="1" applyBorder="1" applyAlignment="1">
      <alignment vertical="center" wrapText="1"/>
    </xf>
    <xf numFmtId="0" fontId="63" fillId="35" borderId="23" xfId="0" applyFont="1" applyFill="1" applyBorder="1" applyAlignment="1">
      <alignment vertical="center"/>
    </xf>
    <xf numFmtId="2" fontId="22" fillId="35" borderId="39" xfId="0" applyNumberFormat="1" applyFont="1" applyFill="1" applyBorder="1" applyAlignment="1">
      <alignment vertical="center"/>
    </xf>
    <xf numFmtId="4" fontId="63" fillId="35" borderId="24" xfId="0" applyNumberFormat="1" applyFont="1" applyFill="1" applyBorder="1" applyAlignment="1">
      <alignment horizontal="center" vertical="center" wrapText="1"/>
    </xf>
    <xf numFmtId="0" fontId="63" fillId="35" borderId="24" xfId="0" applyFont="1" applyFill="1" applyBorder="1" applyAlignment="1">
      <alignment vertical="center"/>
    </xf>
    <xf numFmtId="0" fontId="57" fillId="35" borderId="28" xfId="0" applyFont="1" applyFill="1" applyBorder="1" applyAlignment="1">
      <alignment vertical="center"/>
    </xf>
    <xf numFmtId="0" fontId="22" fillId="35" borderId="0" xfId="0" applyNumberFormat="1" applyFont="1" applyFill="1" applyBorder="1" applyAlignment="1">
      <alignment vertical="center"/>
    </xf>
    <xf numFmtId="0" fontId="23" fillId="35" borderId="0" xfId="0" applyFont="1" applyFill="1" applyAlignment="1">
      <alignment vertical="center"/>
    </xf>
    <xf numFmtId="2" fontId="88" fillId="28" borderId="20" xfId="0" applyNumberFormat="1" applyFont="1" applyFill="1" applyBorder="1" applyAlignment="1">
      <alignment vertical="center"/>
    </xf>
    <xf numFmtId="3" fontId="23" fillId="28" borderId="20" xfId="0" applyNumberFormat="1" applyFont="1" applyFill="1" applyBorder="1" applyAlignment="1">
      <alignment horizontal="center" vertical="center" wrapText="1"/>
    </xf>
    <xf numFmtId="4" fontId="23" fillId="28" borderId="20" xfId="0" applyNumberFormat="1" applyFont="1" applyFill="1" applyBorder="1" applyAlignment="1">
      <alignment horizontal="center" vertical="center" wrapText="1"/>
    </xf>
    <xf numFmtId="173" fontId="23" fillId="28" borderId="20" xfId="0" applyNumberFormat="1" applyFont="1" applyFill="1" applyBorder="1" applyAlignment="1">
      <alignment horizontal="center" vertical="center" wrapText="1"/>
    </xf>
    <xf numFmtId="3" fontId="22" fillId="28" borderId="20" xfId="0" applyNumberFormat="1" applyFont="1" applyFill="1" applyBorder="1" applyAlignment="1">
      <alignment horizontal="center" vertical="center"/>
    </xf>
    <xf numFmtId="4" fontId="22" fillId="28" borderId="20" xfId="0" applyNumberFormat="1" applyFont="1" applyFill="1" applyBorder="1" applyAlignment="1">
      <alignment horizontal="center" vertical="center"/>
    </xf>
    <xf numFmtId="0" fontId="22" fillId="28" borderId="44" xfId="0" applyFont="1" applyFill="1" applyBorder="1" applyAlignment="1">
      <alignment horizontal="center" vertical="center"/>
    </xf>
    <xf numFmtId="2" fontId="88" fillId="28" borderId="20" xfId="80" applyNumberFormat="1" applyFont="1" applyFill="1" applyBorder="1">
      <alignment/>
      <protection/>
    </xf>
    <xf numFmtId="189" fontId="23" fillId="28" borderId="20" xfId="80" applyNumberFormat="1" applyFont="1" applyFill="1" applyBorder="1" applyAlignment="1" applyProtection="1">
      <alignment horizontal="center" vertical="center" wrapText="1"/>
      <protection/>
    </xf>
    <xf numFmtId="2" fontId="22" fillId="28" borderId="20" xfId="80" applyNumberFormat="1" applyFont="1" applyFill="1" applyBorder="1" applyAlignment="1" applyProtection="1">
      <alignment horizontal="center" vertical="center" wrapText="1"/>
      <protection/>
    </xf>
    <xf numFmtId="2" fontId="22" fillId="28" borderId="20" xfId="80" applyNumberFormat="1" applyFont="1" applyFill="1" applyBorder="1" applyAlignment="1">
      <alignment horizontal="center" vertical="center" wrapText="1"/>
      <protection/>
    </xf>
    <xf numFmtId="2" fontId="88" fillId="28" borderId="20" xfId="0" applyNumberFormat="1" applyFont="1" applyFill="1" applyBorder="1" applyAlignment="1" applyProtection="1">
      <alignment vertical="center"/>
      <protection/>
    </xf>
    <xf numFmtId="172" fontId="23" fillId="28" borderId="20" xfId="0" applyNumberFormat="1" applyFont="1" applyFill="1" applyBorder="1" applyAlignment="1" applyProtection="1">
      <alignment horizontal="center" vertical="center"/>
      <protection/>
    </xf>
    <xf numFmtId="3" fontId="82" fillId="37" borderId="20" xfId="0" applyNumberFormat="1" applyFont="1" applyFill="1" applyBorder="1" applyAlignment="1" applyProtection="1">
      <alignment horizontal="center" vertical="center"/>
      <protection/>
    </xf>
    <xf numFmtId="4" fontId="23" fillId="28" borderId="20" xfId="0" applyNumberFormat="1" applyFont="1" applyFill="1" applyBorder="1" applyAlignment="1" applyProtection="1">
      <alignment horizontal="center" vertical="center" wrapText="1"/>
      <protection/>
    </xf>
    <xf numFmtId="4" fontId="23" fillId="28" borderId="20" xfId="0" applyNumberFormat="1" applyFont="1" applyFill="1" applyBorder="1" applyAlignment="1">
      <alignment/>
    </xf>
    <xf numFmtId="2" fontId="21" fillId="28" borderId="20" xfId="0" applyNumberFormat="1" applyFont="1" applyFill="1" applyBorder="1" applyAlignment="1">
      <alignment vertical="center"/>
    </xf>
    <xf numFmtId="176" fontId="23" fillId="28" borderId="20" xfId="0" applyNumberFormat="1" applyFont="1" applyFill="1" applyBorder="1" applyAlignment="1">
      <alignment horizontal="center" vertical="center" wrapText="1"/>
    </xf>
    <xf numFmtId="0" fontId="57" fillId="0" borderId="0" xfId="0" applyFont="1" applyFill="1" applyAlignment="1">
      <alignment/>
    </xf>
    <xf numFmtId="0" fontId="38" fillId="0" borderId="0" xfId="0" applyFont="1" applyFill="1" applyAlignment="1">
      <alignment/>
    </xf>
    <xf numFmtId="2" fontId="57" fillId="0" borderId="0" xfId="0" applyNumberFormat="1" applyFont="1" applyFill="1" applyAlignment="1">
      <alignment/>
    </xf>
    <xf numFmtId="0" fontId="57" fillId="0" borderId="11" xfId="0" applyFont="1" applyFill="1" applyBorder="1" applyAlignment="1">
      <alignment/>
    </xf>
    <xf numFmtId="0" fontId="38" fillId="0" borderId="11" xfId="0" applyFont="1" applyFill="1" applyBorder="1" applyAlignment="1">
      <alignment horizontal="center"/>
    </xf>
    <xf numFmtId="2" fontId="57" fillId="0" borderId="22" xfId="0" applyNumberFormat="1" applyFont="1" applyFill="1" applyBorder="1" applyAlignment="1">
      <alignment/>
    </xf>
    <xf numFmtId="2" fontId="57" fillId="0" borderId="24" xfId="0" applyNumberFormat="1" applyFont="1" applyFill="1" applyBorder="1" applyAlignment="1">
      <alignment/>
    </xf>
    <xf numFmtId="0" fontId="57" fillId="0" borderId="25" xfId="0" applyFont="1" applyFill="1" applyBorder="1" applyAlignment="1">
      <alignment horizontal="left"/>
    </xf>
    <xf numFmtId="0" fontId="57" fillId="0" borderId="26" xfId="0" applyFont="1" applyFill="1" applyBorder="1" applyAlignment="1">
      <alignment horizontal="left"/>
    </xf>
    <xf numFmtId="2" fontId="57" fillId="0" borderId="27" xfId="0" applyNumberFormat="1" applyFont="1" applyFill="1" applyBorder="1" applyAlignment="1">
      <alignment horizontal="left"/>
    </xf>
    <xf numFmtId="2" fontId="65" fillId="0" borderId="0" xfId="0" applyNumberFormat="1" applyFont="1" applyFill="1" applyBorder="1" applyAlignment="1">
      <alignment/>
    </xf>
    <xf numFmtId="2" fontId="57" fillId="0" borderId="0" xfId="0" applyNumberFormat="1" applyFont="1" applyFill="1" applyBorder="1" applyAlignment="1">
      <alignment/>
    </xf>
    <xf numFmtId="0" fontId="57" fillId="0" borderId="0" xfId="0" applyFont="1" applyFill="1" applyBorder="1" applyAlignment="1">
      <alignment/>
    </xf>
    <xf numFmtId="0" fontId="57" fillId="0" borderId="0" xfId="0" applyFont="1" applyFill="1" applyBorder="1" applyAlignment="1">
      <alignment horizontal="left"/>
    </xf>
    <xf numFmtId="0" fontId="89" fillId="0" borderId="0" xfId="0" applyFont="1" applyFill="1" applyBorder="1" applyAlignment="1">
      <alignment horizontal="left"/>
    </xf>
    <xf numFmtId="2" fontId="57" fillId="0" borderId="0" xfId="0" applyNumberFormat="1" applyFont="1" applyFill="1" applyBorder="1" applyAlignment="1">
      <alignment horizontal="left"/>
    </xf>
    <xf numFmtId="0" fontId="23" fillId="0" borderId="0" xfId="0" applyFont="1" applyFill="1" applyBorder="1" applyAlignment="1">
      <alignment/>
    </xf>
    <xf numFmtId="2" fontId="23" fillId="0" borderId="0" xfId="0" applyNumberFormat="1" applyFont="1" applyFill="1" applyBorder="1" applyAlignment="1">
      <alignment/>
    </xf>
    <xf numFmtId="0" fontId="22" fillId="0" borderId="0" xfId="0" applyFont="1" applyFill="1" applyBorder="1" applyAlignment="1">
      <alignment/>
    </xf>
    <xf numFmtId="0" fontId="72" fillId="0" borderId="0" xfId="0" applyFont="1" applyFill="1" applyAlignment="1">
      <alignment/>
    </xf>
    <xf numFmtId="0" fontId="21" fillId="0" borderId="0" xfId="0" applyFont="1" applyFill="1" applyAlignment="1">
      <alignment/>
    </xf>
    <xf numFmtId="0" fontId="34" fillId="0" borderId="0" xfId="0" applyFont="1" applyFill="1" applyAlignment="1">
      <alignment/>
    </xf>
    <xf numFmtId="2" fontId="57" fillId="36" borderId="20" xfId="0" applyNumberFormat="1" applyFont="1" applyFill="1" applyBorder="1" applyAlignment="1">
      <alignment/>
    </xf>
    <xf numFmtId="2" fontId="65" fillId="28" borderId="20" xfId="0" applyNumberFormat="1" applyFont="1" applyFill="1" applyBorder="1" applyAlignment="1">
      <alignment/>
    </xf>
    <xf numFmtId="0" fontId="21" fillId="0" borderId="0" xfId="0" applyFont="1" applyFill="1" applyBorder="1" applyAlignment="1">
      <alignment/>
    </xf>
    <xf numFmtId="0" fontId="21" fillId="0" borderId="0" xfId="0" applyFont="1" applyFill="1" applyAlignment="1">
      <alignment vertical="top"/>
    </xf>
    <xf numFmtId="0" fontId="21" fillId="0" borderId="23" xfId="0" applyFont="1" applyFill="1" applyBorder="1" applyAlignment="1">
      <alignment vertical="top"/>
    </xf>
    <xf numFmtId="0" fontId="21" fillId="0" borderId="0" xfId="0" applyFont="1" applyFill="1" applyBorder="1" applyAlignment="1">
      <alignment vertical="top"/>
    </xf>
    <xf numFmtId="2" fontId="22" fillId="0" borderId="20" xfId="0" applyNumberFormat="1" applyFont="1" applyFill="1" applyBorder="1" applyAlignment="1">
      <alignment horizontal="center" vertical="center"/>
    </xf>
    <xf numFmtId="4" fontId="22" fillId="0" borderId="20" xfId="0" applyNumberFormat="1" applyFont="1" applyFill="1" applyBorder="1" applyAlignment="1">
      <alignment horizontal="center" vertical="center"/>
    </xf>
    <xf numFmtId="4" fontId="22" fillId="0" borderId="45" xfId="0" applyNumberFormat="1" applyFont="1" applyFill="1" applyBorder="1" applyAlignment="1">
      <alignment horizontal="center" vertical="center" wrapText="1"/>
    </xf>
    <xf numFmtId="2" fontId="23" fillId="0" borderId="37" xfId="0" applyNumberFormat="1" applyFont="1" applyFill="1" applyBorder="1" applyAlignment="1">
      <alignment horizontal="center" vertical="center" wrapText="1"/>
    </xf>
    <xf numFmtId="4" fontId="23" fillId="0" borderId="37" xfId="0" applyNumberFormat="1" applyFont="1" applyFill="1" applyBorder="1" applyAlignment="1">
      <alignment horizontal="center" vertical="center" wrapText="1"/>
    </xf>
    <xf numFmtId="4" fontId="23" fillId="0" borderId="20" xfId="0" applyNumberFormat="1" applyFont="1" applyFill="1" applyBorder="1" applyAlignment="1">
      <alignment horizontal="center" vertical="center" wrapText="1"/>
    </xf>
    <xf numFmtId="3" fontId="23" fillId="0" borderId="20" xfId="0" applyNumberFormat="1" applyFont="1" applyFill="1" applyBorder="1" applyAlignment="1">
      <alignment horizontal="center" vertical="center" wrapText="1"/>
    </xf>
    <xf numFmtId="0" fontId="73" fillId="40" borderId="20" xfId="0" applyFont="1" applyFill="1" applyBorder="1" applyAlignment="1">
      <alignment horizontal="center" vertical="center"/>
    </xf>
    <xf numFmtId="2" fontId="73" fillId="40" borderId="0" xfId="0" applyNumberFormat="1" applyFont="1" applyFill="1" applyBorder="1" applyAlignment="1">
      <alignment horizontal="center" vertical="center"/>
    </xf>
    <xf numFmtId="0" fontId="22" fillId="40" borderId="41" xfId="0" applyFont="1" applyFill="1" applyBorder="1" applyAlignment="1">
      <alignment wrapText="1"/>
    </xf>
    <xf numFmtId="2" fontId="74" fillId="40" borderId="20" xfId="0" applyNumberFormat="1" applyFont="1" applyFill="1" applyBorder="1" applyAlignment="1">
      <alignment horizontal="center" vertical="center" wrapText="1"/>
    </xf>
    <xf numFmtId="0" fontId="74" fillId="40" borderId="20" xfId="0" applyFont="1" applyFill="1" applyBorder="1" applyAlignment="1">
      <alignment horizontal="center" vertical="center" wrapText="1"/>
    </xf>
    <xf numFmtId="0" fontId="74" fillId="40" borderId="37" xfId="0" applyFont="1" applyFill="1" applyBorder="1" applyAlignment="1">
      <alignment horizontal="center" vertical="center" wrapText="1"/>
    </xf>
    <xf numFmtId="2" fontId="74" fillId="40" borderId="37" xfId="0" applyNumberFormat="1" applyFont="1" applyFill="1" applyBorder="1" applyAlignment="1">
      <alignment horizontal="center" vertical="center" wrapText="1"/>
    </xf>
    <xf numFmtId="0" fontId="38" fillId="35" borderId="21" xfId="0" applyFont="1" applyFill="1" applyBorder="1" applyAlignment="1">
      <alignment vertical="top"/>
    </xf>
    <xf numFmtId="0" fontId="21" fillId="35" borderId="11" xfId="0" applyFont="1" applyFill="1" applyBorder="1" applyAlignment="1">
      <alignment vertical="top"/>
    </xf>
    <xf numFmtId="0" fontId="21" fillId="35" borderId="22" xfId="0" applyFont="1" applyFill="1" applyBorder="1" applyAlignment="1">
      <alignment vertical="top"/>
    </xf>
    <xf numFmtId="0" fontId="22" fillId="35" borderId="0" xfId="0" applyFont="1" applyFill="1" applyBorder="1" applyAlignment="1">
      <alignment/>
    </xf>
    <xf numFmtId="2" fontId="23" fillId="35" borderId="0" xfId="0" applyNumberFormat="1" applyFont="1" applyFill="1" applyBorder="1" applyAlignment="1">
      <alignment/>
    </xf>
    <xf numFmtId="0" fontId="23" fillId="35" borderId="23" xfId="0" applyFont="1" applyFill="1" applyBorder="1" applyAlignment="1">
      <alignment wrapText="1"/>
    </xf>
    <xf numFmtId="2" fontId="23" fillId="35" borderId="0" xfId="0" applyNumberFormat="1" applyFont="1" applyFill="1" applyBorder="1" applyAlignment="1">
      <alignment wrapText="1"/>
    </xf>
    <xf numFmtId="2" fontId="23" fillId="35" borderId="46" xfId="0" applyNumberFormat="1" applyFont="1" applyFill="1" applyBorder="1" applyAlignment="1">
      <alignment/>
    </xf>
    <xf numFmtId="0" fontId="23" fillId="35" borderId="45" xfId="0" applyFont="1" applyFill="1" applyBorder="1" applyAlignment="1">
      <alignment horizontal="center" vertical="center" wrapText="1"/>
    </xf>
    <xf numFmtId="2" fontId="23" fillId="35" borderId="20" xfId="0" applyNumberFormat="1" applyFont="1" applyFill="1" applyBorder="1" applyAlignment="1">
      <alignment horizontal="center" vertical="center" wrapText="1"/>
    </xf>
    <xf numFmtId="4" fontId="23" fillId="35" borderId="20" xfId="0" applyNumberFormat="1" applyFont="1" applyFill="1" applyBorder="1" applyAlignment="1">
      <alignment horizontal="center" vertical="center" wrapText="1"/>
    </xf>
    <xf numFmtId="176" fontId="23" fillId="35" borderId="20" xfId="0" applyNumberFormat="1" applyFont="1" applyFill="1" applyBorder="1" applyAlignment="1">
      <alignment horizontal="center" vertical="center" wrapText="1"/>
    </xf>
    <xf numFmtId="4" fontId="22" fillId="35" borderId="24" xfId="0" applyNumberFormat="1" applyFont="1" applyFill="1" applyBorder="1" applyAlignment="1">
      <alignment horizontal="center" vertical="center" wrapText="1"/>
    </xf>
    <xf numFmtId="4" fontId="23" fillId="35" borderId="24" xfId="0" applyNumberFormat="1" applyFont="1" applyFill="1" applyBorder="1" applyAlignment="1">
      <alignment horizontal="center" vertical="center" wrapText="1"/>
    </xf>
    <xf numFmtId="3" fontId="23" fillId="35" borderId="24" xfId="0" applyNumberFormat="1" applyFont="1" applyFill="1" applyBorder="1" applyAlignment="1">
      <alignment horizontal="center" vertical="center" wrapText="1"/>
    </xf>
    <xf numFmtId="2" fontId="74" fillId="35" borderId="24" xfId="0" applyNumberFormat="1" applyFont="1" applyFill="1" applyBorder="1" applyAlignment="1">
      <alignment horizontal="center" vertical="center" wrapText="1"/>
    </xf>
    <xf numFmtId="2" fontId="23" fillId="35" borderId="24" xfId="0" applyNumberFormat="1" applyFont="1" applyFill="1" applyBorder="1" applyAlignment="1">
      <alignment horizontal="center" vertical="center" wrapText="1"/>
    </xf>
    <xf numFmtId="0" fontId="22" fillId="35" borderId="24" xfId="0" applyFont="1" applyFill="1" applyBorder="1" applyAlignment="1">
      <alignment/>
    </xf>
    <xf numFmtId="0" fontId="23" fillId="35" borderId="27" xfId="0" applyFont="1" applyFill="1" applyBorder="1" applyAlignment="1">
      <alignment/>
    </xf>
    <xf numFmtId="4" fontId="23" fillId="0" borderId="37" xfId="0" applyNumberFormat="1" applyFont="1" applyFill="1" applyBorder="1" applyAlignment="1">
      <alignment horizontal="center" vertical="center" wrapText="1"/>
    </xf>
    <xf numFmtId="4" fontId="23" fillId="0" borderId="41" xfId="0" applyNumberFormat="1" applyFont="1" applyFill="1" applyBorder="1" applyAlignment="1">
      <alignment horizontal="center" vertical="center" wrapText="1"/>
    </xf>
    <xf numFmtId="0" fontId="23" fillId="36" borderId="20" xfId="0" applyFont="1" applyFill="1" applyBorder="1" applyAlignment="1" applyProtection="1">
      <alignment horizontal="center" vertical="center" wrapText="1"/>
      <protection locked="0"/>
    </xf>
    <xf numFmtId="4" fontId="22" fillId="28" borderId="47" xfId="0" applyNumberFormat="1" applyFont="1" applyFill="1" applyBorder="1" applyAlignment="1">
      <alignment horizontal="center" vertical="center"/>
    </xf>
    <xf numFmtId="0" fontId="74" fillId="35" borderId="23" xfId="0" applyFont="1" applyFill="1" applyBorder="1" applyAlignment="1">
      <alignment/>
    </xf>
    <xf numFmtId="0" fontId="23" fillId="35" borderId="25" xfId="0" applyFont="1" applyFill="1" applyBorder="1" applyAlignment="1">
      <alignment/>
    </xf>
    <xf numFmtId="0" fontId="23" fillId="35" borderId="26" xfId="0" applyFont="1" applyFill="1" applyBorder="1" applyAlignment="1">
      <alignment/>
    </xf>
    <xf numFmtId="2" fontId="23" fillId="35" borderId="26" xfId="0" applyNumberFormat="1" applyFont="1" applyFill="1" applyBorder="1" applyAlignment="1">
      <alignment/>
    </xf>
    <xf numFmtId="0" fontId="23" fillId="0" borderId="0" xfId="0" applyFont="1" applyFill="1" applyAlignment="1">
      <alignment/>
    </xf>
    <xf numFmtId="0" fontId="22" fillId="0" borderId="20" xfId="0" applyFont="1" applyFill="1" applyBorder="1" applyAlignment="1">
      <alignment horizontal="center"/>
    </xf>
    <xf numFmtId="173" fontId="23" fillId="0" borderId="20" xfId="0" applyNumberFormat="1" applyFont="1" applyFill="1" applyBorder="1" applyAlignment="1">
      <alignment horizontal="center" vertical="center" wrapText="1"/>
    </xf>
    <xf numFmtId="0" fontId="23" fillId="0" borderId="0" xfId="0" applyFont="1" applyAlignment="1">
      <alignment/>
    </xf>
    <xf numFmtId="2" fontId="23" fillId="0" borderId="23" xfId="0" applyNumberFormat="1" applyFont="1" applyFill="1" applyBorder="1" applyAlignment="1">
      <alignment horizontal="center" vertical="center" wrapText="1"/>
    </xf>
    <xf numFmtId="0" fontId="23" fillId="0" borderId="0" xfId="0" applyFont="1" applyBorder="1" applyAlignment="1">
      <alignment/>
    </xf>
    <xf numFmtId="0" fontId="23" fillId="0" borderId="23" xfId="0" applyFont="1" applyBorder="1" applyAlignment="1">
      <alignment/>
    </xf>
    <xf numFmtId="0" fontId="38" fillId="35" borderId="11" xfId="0" applyFont="1" applyFill="1" applyBorder="1" applyAlignment="1">
      <alignment/>
    </xf>
    <xf numFmtId="2" fontId="21" fillId="35" borderId="11" xfId="0" applyNumberFormat="1" applyFont="1" applyFill="1" applyBorder="1" applyAlignment="1">
      <alignment/>
    </xf>
    <xf numFmtId="0" fontId="21" fillId="35" borderId="11" xfId="0" applyFont="1" applyFill="1" applyBorder="1" applyAlignment="1">
      <alignment/>
    </xf>
    <xf numFmtId="0" fontId="21" fillId="35" borderId="22" xfId="0" applyFont="1" applyFill="1" applyBorder="1" applyAlignment="1">
      <alignment/>
    </xf>
    <xf numFmtId="2" fontId="23" fillId="35" borderId="39" xfId="0" applyNumberFormat="1" applyFont="1" applyFill="1" applyBorder="1" applyAlignment="1">
      <alignment/>
    </xf>
    <xf numFmtId="2" fontId="23" fillId="35" borderId="39" xfId="0" applyNumberFormat="1" applyFont="1" applyFill="1" applyBorder="1" applyAlignment="1">
      <alignment wrapText="1"/>
    </xf>
    <xf numFmtId="3" fontId="23" fillId="35" borderId="20" xfId="0" applyNumberFormat="1" applyFont="1" applyFill="1" applyBorder="1" applyAlignment="1">
      <alignment horizontal="center" vertical="center" wrapText="1"/>
    </xf>
    <xf numFmtId="173" fontId="23" fillId="35" borderId="20" xfId="0" applyNumberFormat="1" applyFont="1" applyFill="1" applyBorder="1" applyAlignment="1">
      <alignment horizontal="center" vertical="center" wrapText="1"/>
    </xf>
    <xf numFmtId="0" fontId="23" fillId="35" borderId="26" xfId="0" applyFont="1" applyFill="1" applyBorder="1" applyAlignment="1">
      <alignment/>
    </xf>
    <xf numFmtId="2" fontId="22" fillId="35" borderId="0" xfId="0" applyNumberFormat="1" applyFont="1" applyFill="1" applyBorder="1" applyAlignment="1">
      <alignment horizontal="center" vertical="center" wrapText="1"/>
    </xf>
    <xf numFmtId="0" fontId="23" fillId="35" borderId="21" xfId="0" applyFont="1" applyFill="1" applyBorder="1" applyAlignment="1">
      <alignment/>
    </xf>
    <xf numFmtId="0" fontId="23" fillId="35" borderId="11" xfId="0" applyFont="1" applyFill="1" applyBorder="1" applyAlignment="1">
      <alignment/>
    </xf>
    <xf numFmtId="2" fontId="23" fillId="35" borderId="11" xfId="0" applyNumberFormat="1" applyFont="1" applyFill="1" applyBorder="1" applyAlignment="1">
      <alignment/>
    </xf>
    <xf numFmtId="0" fontId="22" fillId="35" borderId="11" xfId="0" applyFont="1" applyFill="1" applyBorder="1" applyAlignment="1">
      <alignment/>
    </xf>
    <xf numFmtId="0" fontId="23" fillId="35" borderId="0" xfId="0" applyFont="1" applyFill="1" applyAlignment="1">
      <alignment/>
    </xf>
    <xf numFmtId="2" fontId="23" fillId="35" borderId="26" xfId="0" applyNumberFormat="1" applyFont="1" applyFill="1" applyBorder="1" applyAlignment="1">
      <alignment/>
    </xf>
    <xf numFmtId="0" fontId="22" fillId="35" borderId="26" xfId="0" applyFont="1" applyFill="1" applyBorder="1" applyAlignment="1">
      <alignment/>
    </xf>
    <xf numFmtId="0" fontId="23" fillId="35" borderId="40" xfId="0" applyFont="1" applyFill="1" applyBorder="1" applyAlignment="1">
      <alignment/>
    </xf>
    <xf numFmtId="2" fontId="38" fillId="35" borderId="11" xfId="0" applyNumberFormat="1" applyFont="1" applyFill="1" applyBorder="1" applyAlignment="1">
      <alignment/>
    </xf>
    <xf numFmtId="0" fontId="38" fillId="35" borderId="22" xfId="0" applyFont="1" applyFill="1" applyBorder="1" applyAlignment="1">
      <alignment/>
    </xf>
    <xf numFmtId="0" fontId="21" fillId="35" borderId="23" xfId="0" applyFont="1" applyFill="1" applyBorder="1" applyAlignment="1">
      <alignment vertical="top"/>
    </xf>
    <xf numFmtId="0" fontId="21" fillId="35" borderId="0" xfId="0" applyFont="1" applyFill="1" applyBorder="1" applyAlignment="1">
      <alignment vertical="top"/>
    </xf>
    <xf numFmtId="0" fontId="21" fillId="35" borderId="24" xfId="0" applyFont="1" applyFill="1" applyBorder="1" applyAlignment="1">
      <alignment vertical="top"/>
    </xf>
    <xf numFmtId="0" fontId="73" fillId="40" borderId="37" xfId="0" applyFont="1" applyFill="1" applyBorder="1" applyAlignment="1">
      <alignment horizontal="center" vertical="center" wrapText="1"/>
    </xf>
    <xf numFmtId="2" fontId="23" fillId="35" borderId="0" xfId="0" applyNumberFormat="1" applyFont="1" applyFill="1" applyAlignment="1">
      <alignment/>
    </xf>
    <xf numFmtId="0" fontId="23" fillId="35" borderId="0" xfId="0" applyFont="1" applyFill="1" applyAlignment="1">
      <alignment/>
    </xf>
    <xf numFmtId="0" fontId="23" fillId="35" borderId="6" xfId="0" applyFont="1" applyFill="1" applyBorder="1" applyAlignment="1">
      <alignment/>
    </xf>
    <xf numFmtId="0" fontId="23" fillId="0" borderId="0" xfId="0" applyNumberFormat="1" applyFont="1" applyFill="1" applyAlignment="1">
      <alignment/>
    </xf>
    <xf numFmtId="0" fontId="23" fillId="0" borderId="44" xfId="0" applyFont="1" applyFill="1" applyBorder="1" applyAlignment="1">
      <alignment horizontal="center" vertical="center" wrapText="1"/>
    </xf>
    <xf numFmtId="4" fontId="22" fillId="0" borderId="11" xfId="0" applyNumberFormat="1" applyFont="1" applyFill="1" applyBorder="1" applyAlignment="1">
      <alignment horizontal="center" vertical="center"/>
    </xf>
    <xf numFmtId="2" fontId="23" fillId="0" borderId="0" xfId="0" applyNumberFormat="1" applyFont="1" applyFill="1" applyBorder="1" applyAlignment="1">
      <alignment horizontal="center" vertical="center" wrapText="1"/>
    </xf>
    <xf numFmtId="0" fontId="23" fillId="0" borderId="11" xfId="0" applyFont="1" applyBorder="1" applyAlignment="1">
      <alignment/>
    </xf>
    <xf numFmtId="0" fontId="23" fillId="35" borderId="0" xfId="0" applyFont="1" applyFill="1" applyBorder="1" applyAlignment="1">
      <alignment/>
    </xf>
    <xf numFmtId="0" fontId="22" fillId="35" borderId="0" xfId="0" applyFont="1" applyFill="1" applyBorder="1" applyAlignment="1">
      <alignment/>
    </xf>
    <xf numFmtId="0" fontId="23" fillId="36" borderId="20" xfId="0" applyFont="1" applyFill="1" applyBorder="1" applyAlignment="1" applyProtection="1">
      <alignment/>
      <protection locked="0"/>
    </xf>
    <xf numFmtId="0" fontId="22" fillId="36" borderId="20" xfId="0" applyFont="1" applyFill="1" applyBorder="1" applyAlignment="1" applyProtection="1">
      <alignment/>
      <protection locked="0"/>
    </xf>
    <xf numFmtId="4" fontId="22" fillId="28" borderId="20" xfId="0" applyNumberFormat="1" applyFont="1" applyFill="1" applyBorder="1" applyAlignment="1">
      <alignment horizontal="right"/>
    </xf>
    <xf numFmtId="0" fontId="22" fillId="28" borderId="20" xfId="0" applyNumberFormat="1" applyFont="1" applyFill="1" applyBorder="1" applyAlignment="1">
      <alignment horizontal="center" vertical="center"/>
    </xf>
    <xf numFmtId="11" fontId="23" fillId="28" borderId="20" xfId="0" applyNumberFormat="1" applyFont="1" applyFill="1" applyBorder="1" applyAlignment="1">
      <alignment/>
    </xf>
    <xf numFmtId="0" fontId="23" fillId="28" borderId="41" xfId="0" applyFont="1" applyFill="1" applyBorder="1" applyAlignment="1">
      <alignment horizontal="center" vertical="center"/>
    </xf>
    <xf numFmtId="3" fontId="23" fillId="36" borderId="41" xfId="0" applyNumberFormat="1" applyFont="1" applyFill="1" applyBorder="1" applyAlignment="1" applyProtection="1">
      <alignment horizontal="center" vertical="center"/>
      <protection locked="0"/>
    </xf>
    <xf numFmtId="2" fontId="23" fillId="36" borderId="41" xfId="0" applyNumberFormat="1" applyFont="1" applyFill="1" applyBorder="1" applyAlignment="1" applyProtection="1">
      <alignment horizontal="center" vertical="center" wrapText="1"/>
      <protection locked="0"/>
    </xf>
    <xf numFmtId="4" fontId="23" fillId="36" borderId="41" xfId="0" applyNumberFormat="1" applyFont="1" applyFill="1" applyBorder="1" applyAlignment="1" applyProtection="1">
      <alignment horizontal="center" vertical="center"/>
      <protection locked="0"/>
    </xf>
    <xf numFmtId="11" fontId="23" fillId="28" borderId="20" xfId="0" applyNumberFormat="1" applyFont="1" applyFill="1" applyBorder="1" applyAlignment="1">
      <alignment horizontal="center" vertical="center"/>
    </xf>
    <xf numFmtId="4" fontId="23" fillId="42" borderId="20" xfId="0" applyNumberFormat="1" applyFont="1" applyFill="1" applyBorder="1" applyAlignment="1">
      <alignment horizontal="center" vertical="center"/>
    </xf>
    <xf numFmtId="11" fontId="23" fillId="42" borderId="20" xfId="0" applyNumberFormat="1" applyFont="1" applyFill="1" applyBorder="1" applyAlignment="1">
      <alignment horizontal="center" vertical="center"/>
    </xf>
    <xf numFmtId="0" fontId="23" fillId="35" borderId="23" xfId="0" applyNumberFormat="1" applyFont="1" applyFill="1" applyBorder="1" applyAlignment="1">
      <alignment/>
    </xf>
    <xf numFmtId="0" fontId="23" fillId="35" borderId="0" xfId="0" applyNumberFormat="1" applyFont="1" applyFill="1" applyBorder="1" applyAlignment="1">
      <alignment/>
    </xf>
    <xf numFmtId="0" fontId="23" fillId="35" borderId="39" xfId="0" applyNumberFormat="1" applyFont="1" applyFill="1" applyBorder="1" applyAlignment="1">
      <alignment wrapText="1"/>
    </xf>
    <xf numFmtId="0" fontId="22" fillId="35" borderId="0" xfId="0" applyFont="1" applyFill="1" applyBorder="1" applyAlignment="1">
      <alignment horizontal="center"/>
    </xf>
    <xf numFmtId="0" fontId="23" fillId="35" borderId="48" xfId="0" applyFont="1" applyFill="1" applyBorder="1" applyAlignment="1">
      <alignment/>
    </xf>
    <xf numFmtId="0" fontId="23" fillId="35" borderId="27" xfId="0" applyFont="1" applyFill="1" applyBorder="1" applyAlignment="1">
      <alignment/>
    </xf>
    <xf numFmtId="0" fontId="57" fillId="0" borderId="0" xfId="0" applyFont="1" applyAlignment="1" applyProtection="1">
      <alignment/>
      <protection/>
    </xf>
    <xf numFmtId="0" fontId="64" fillId="0" borderId="0" xfId="0" applyFont="1" applyAlignment="1" applyProtection="1">
      <alignment vertical="center"/>
      <protection/>
    </xf>
    <xf numFmtId="0" fontId="57" fillId="0" borderId="0" xfId="0" applyFont="1" applyAlignment="1" applyProtection="1">
      <alignment horizontal="center"/>
      <protection/>
    </xf>
    <xf numFmtId="0" fontId="57" fillId="0" borderId="0" xfId="0" applyFont="1" applyAlignment="1" applyProtection="1">
      <alignment horizontal="center" vertical="center"/>
      <protection/>
    </xf>
    <xf numFmtId="0" fontId="23" fillId="40" borderId="20" xfId="0" applyFont="1" applyFill="1" applyBorder="1" applyAlignment="1" applyProtection="1">
      <alignment vertical="center"/>
      <protection/>
    </xf>
    <xf numFmtId="0" fontId="23" fillId="40" borderId="43" xfId="0" applyFont="1" applyFill="1" applyBorder="1" applyAlignment="1" applyProtection="1">
      <alignment vertical="center" wrapText="1"/>
      <protection/>
    </xf>
    <xf numFmtId="0" fontId="23" fillId="40" borderId="20" xfId="0" applyFont="1" applyFill="1" applyBorder="1" applyAlignment="1" applyProtection="1">
      <alignment vertical="center" wrapText="1"/>
      <protection/>
    </xf>
    <xf numFmtId="0" fontId="23" fillId="0" borderId="0" xfId="0" applyFont="1" applyAlignment="1" applyProtection="1">
      <alignment vertical="center"/>
      <protection/>
    </xf>
    <xf numFmtId="0" fontId="23" fillId="0" borderId="0" xfId="0" applyFont="1" applyAlignment="1" applyProtection="1">
      <alignment horizontal="center" vertical="center"/>
      <protection/>
    </xf>
    <xf numFmtId="0" fontId="72" fillId="0" borderId="0" xfId="0" applyFont="1" applyAlignment="1" applyProtection="1">
      <alignment vertical="center"/>
      <protection/>
    </xf>
    <xf numFmtId="0" fontId="23" fillId="0" borderId="0" xfId="0" applyFont="1" applyAlignment="1" applyProtection="1">
      <alignment/>
      <protection/>
    </xf>
    <xf numFmtId="0" fontId="72" fillId="0" borderId="0" xfId="0" applyFont="1" applyAlignment="1">
      <alignment/>
    </xf>
    <xf numFmtId="0" fontId="34" fillId="0" borderId="0" xfId="0" applyFont="1" applyFill="1" applyAlignment="1" applyProtection="1">
      <alignment vertical="top"/>
      <protection/>
    </xf>
    <xf numFmtId="0" fontId="22" fillId="0" borderId="0" xfId="0" applyFont="1" applyAlignment="1">
      <alignment/>
    </xf>
    <xf numFmtId="0" fontId="40" fillId="0" borderId="0" xfId="0" applyFont="1" applyAlignment="1">
      <alignment/>
    </xf>
    <xf numFmtId="0" fontId="0" fillId="37" borderId="20" xfId="0" applyFont="1" applyFill="1" applyBorder="1" applyAlignment="1">
      <alignment horizontal="center" vertical="center" wrapText="1"/>
    </xf>
    <xf numFmtId="0" fontId="23" fillId="35" borderId="22" xfId="0" applyFont="1" applyFill="1" applyBorder="1" applyAlignment="1">
      <alignment/>
    </xf>
    <xf numFmtId="0" fontId="40" fillId="35" borderId="23" xfId="0" applyFont="1" applyFill="1" applyBorder="1" applyAlignment="1">
      <alignment/>
    </xf>
    <xf numFmtId="0" fontId="23" fillId="35" borderId="0" xfId="0" applyFont="1" applyFill="1" applyBorder="1" applyAlignment="1">
      <alignment horizontal="right"/>
    </xf>
    <xf numFmtId="0" fontId="38" fillId="35" borderId="23" xfId="0" applyFont="1" applyFill="1" applyBorder="1" applyAlignment="1">
      <alignment/>
    </xf>
    <xf numFmtId="0" fontId="0" fillId="36" borderId="20" xfId="0" applyFill="1" applyBorder="1" applyAlignment="1" applyProtection="1">
      <alignment horizontal="center"/>
      <protection locked="0"/>
    </xf>
    <xf numFmtId="0" fontId="0" fillId="28" borderId="20" xfId="0" applyFill="1" applyBorder="1" applyAlignment="1">
      <alignment horizontal="center" vertical="center" wrapText="1"/>
    </xf>
    <xf numFmtId="4" fontId="23" fillId="28" borderId="20" xfId="0" applyNumberFormat="1" applyFont="1" applyFill="1" applyBorder="1" applyAlignment="1" applyProtection="1">
      <alignment horizontal="center" vertical="center"/>
      <protection/>
    </xf>
    <xf numFmtId="176" fontId="23" fillId="28" borderId="20" xfId="0" applyNumberFormat="1" applyFont="1" applyFill="1" applyBorder="1" applyAlignment="1" applyProtection="1">
      <alignment horizontal="center" vertical="center"/>
      <protection/>
    </xf>
    <xf numFmtId="0" fontId="25" fillId="35" borderId="23" xfId="0" applyFont="1" applyFill="1" applyBorder="1" applyAlignment="1">
      <alignment/>
    </xf>
    <xf numFmtId="0" fontId="23" fillId="35" borderId="23" xfId="0" applyFont="1" applyFill="1" applyBorder="1" applyAlignment="1">
      <alignment horizontal="right" vertical="top"/>
    </xf>
    <xf numFmtId="0" fontId="23" fillId="35" borderId="23" xfId="0" applyFont="1" applyFill="1" applyBorder="1" applyAlignment="1">
      <alignment horizontal="right"/>
    </xf>
    <xf numFmtId="0" fontId="23" fillId="37" borderId="20" xfId="0" applyFont="1" applyFill="1" applyBorder="1" applyAlignment="1" applyProtection="1">
      <alignment vertical="center" wrapText="1"/>
      <protection/>
    </xf>
    <xf numFmtId="0" fontId="23" fillId="35" borderId="21" xfId="0" applyFont="1" applyFill="1" applyBorder="1" applyAlignment="1" applyProtection="1">
      <alignment/>
      <protection/>
    </xf>
    <xf numFmtId="0" fontId="22" fillId="35" borderId="38" xfId="0" applyFont="1" applyFill="1" applyBorder="1" applyAlignment="1" applyProtection="1">
      <alignment vertical="center"/>
      <protection/>
    </xf>
    <xf numFmtId="0" fontId="22" fillId="35" borderId="11" xfId="0" applyFont="1" applyFill="1" applyBorder="1" applyAlignment="1" applyProtection="1">
      <alignment vertical="center"/>
      <protection/>
    </xf>
    <xf numFmtId="0" fontId="23" fillId="35" borderId="11" xfId="0" applyFont="1" applyFill="1" applyBorder="1" applyAlignment="1" applyProtection="1">
      <alignment vertical="center"/>
      <protection/>
    </xf>
    <xf numFmtId="0" fontId="23" fillId="35" borderId="11" xfId="0" applyFont="1" applyFill="1" applyBorder="1" applyAlignment="1" applyProtection="1">
      <alignment horizontal="center"/>
      <protection/>
    </xf>
    <xf numFmtId="0" fontId="23" fillId="35" borderId="11" xfId="0" applyFont="1" applyFill="1" applyBorder="1" applyAlignment="1" applyProtection="1">
      <alignment horizontal="center" vertical="center"/>
      <protection/>
    </xf>
    <xf numFmtId="0" fontId="23" fillId="35" borderId="22" xfId="0" applyFont="1" applyFill="1" applyBorder="1" applyAlignment="1" applyProtection="1">
      <alignment/>
      <protection/>
    </xf>
    <xf numFmtId="0" fontId="23" fillId="35" borderId="23" xfId="0" applyFont="1" applyFill="1" applyBorder="1" applyAlignment="1" applyProtection="1">
      <alignment/>
      <protection/>
    </xf>
    <xf numFmtId="0" fontId="23" fillId="35" borderId="0" xfId="0" applyFont="1" applyFill="1" applyBorder="1" applyAlignment="1" applyProtection="1">
      <alignment vertical="center"/>
      <protection/>
    </xf>
    <xf numFmtId="0" fontId="23" fillId="35" borderId="0" xfId="0" applyFont="1" applyFill="1" applyBorder="1" applyAlignment="1" applyProtection="1">
      <alignment horizontal="center" vertical="center"/>
      <protection/>
    </xf>
    <xf numFmtId="2" fontId="23" fillId="35" borderId="0" xfId="0" applyNumberFormat="1" applyFont="1" applyFill="1" applyBorder="1" applyAlignment="1" applyProtection="1">
      <alignment horizontal="center" vertical="center"/>
      <protection/>
    </xf>
    <xf numFmtId="0" fontId="23" fillId="35" borderId="24" xfId="0" applyFont="1" applyFill="1" applyBorder="1" applyAlignment="1" applyProtection="1">
      <alignment/>
      <protection/>
    </xf>
    <xf numFmtId="0" fontId="23" fillId="35" borderId="0" xfId="0" applyFont="1" applyFill="1" applyBorder="1" applyAlignment="1" applyProtection="1">
      <alignment vertical="center" wrapText="1"/>
      <protection/>
    </xf>
    <xf numFmtId="0" fontId="38" fillId="35" borderId="21" xfId="0" applyFont="1" applyFill="1" applyBorder="1" applyAlignment="1" applyProtection="1">
      <alignment vertical="top"/>
      <protection/>
    </xf>
    <xf numFmtId="0" fontId="22" fillId="35" borderId="11" xfId="0" applyFont="1" applyFill="1" applyBorder="1" applyAlignment="1" applyProtection="1">
      <alignment horizontal="center" wrapText="1"/>
      <protection/>
    </xf>
    <xf numFmtId="2" fontId="22" fillId="35" borderId="11" xfId="0" applyNumberFormat="1" applyFont="1" applyFill="1" applyBorder="1" applyAlignment="1" applyProtection="1">
      <alignment horizontal="center" wrapText="1"/>
      <protection/>
    </xf>
    <xf numFmtId="4" fontId="23" fillId="35" borderId="0" xfId="0" applyNumberFormat="1" applyFont="1" applyFill="1" applyBorder="1" applyAlignment="1" applyProtection="1">
      <alignment horizontal="center" vertical="center"/>
      <protection/>
    </xf>
    <xf numFmtId="0" fontId="23" fillId="35" borderId="27" xfId="0" applyFont="1" applyFill="1" applyBorder="1" applyAlignment="1" applyProtection="1">
      <alignment/>
      <protection/>
    </xf>
    <xf numFmtId="0" fontId="23" fillId="35" borderId="25" xfId="0" applyFont="1" applyFill="1" applyBorder="1" applyAlignment="1" applyProtection="1">
      <alignment/>
      <protection/>
    </xf>
    <xf numFmtId="0" fontId="23" fillId="35" borderId="26" xfId="0" applyFont="1" applyFill="1" applyBorder="1" applyAlignment="1" applyProtection="1">
      <alignment vertical="center" wrapText="1"/>
      <protection/>
    </xf>
    <xf numFmtId="2" fontId="23" fillId="35" borderId="26" xfId="0" applyNumberFormat="1" applyFont="1" applyFill="1" applyBorder="1" applyAlignment="1" applyProtection="1">
      <alignment horizontal="center" vertical="center"/>
      <protection/>
    </xf>
    <xf numFmtId="0" fontId="23" fillId="35" borderId="26" xfId="0" applyFont="1" applyFill="1" applyBorder="1" applyAlignment="1" applyProtection="1">
      <alignment horizontal="center" vertical="center"/>
      <protection/>
    </xf>
    <xf numFmtId="0" fontId="38" fillId="35" borderId="23" xfId="0" applyFont="1" applyFill="1" applyBorder="1" applyAlignment="1" applyProtection="1">
      <alignment vertical="top"/>
      <protection/>
    </xf>
    <xf numFmtId="0" fontId="22" fillId="35" borderId="0" xfId="0" applyFont="1" applyFill="1" applyBorder="1" applyAlignment="1" applyProtection="1">
      <alignment vertical="center"/>
      <protection/>
    </xf>
    <xf numFmtId="0" fontId="22" fillId="35" borderId="0" xfId="0" applyFont="1" applyFill="1" applyBorder="1" applyAlignment="1" applyProtection="1">
      <alignment horizontal="center" wrapText="1"/>
      <protection/>
    </xf>
    <xf numFmtId="2" fontId="22" fillId="35" borderId="0" xfId="0" applyNumberFormat="1" applyFont="1" applyFill="1" applyBorder="1" applyAlignment="1" applyProtection="1">
      <alignment horizontal="center" wrapText="1"/>
      <protection/>
    </xf>
    <xf numFmtId="0" fontId="22" fillId="35" borderId="0" xfId="0" applyFont="1" applyFill="1" applyBorder="1" applyAlignment="1" applyProtection="1">
      <alignment vertical="center" wrapText="1"/>
      <protection/>
    </xf>
    <xf numFmtId="0" fontId="23" fillId="35" borderId="26" xfId="0" applyFont="1" applyFill="1" applyBorder="1" applyAlignment="1" applyProtection="1">
      <alignment vertical="center"/>
      <protection/>
    </xf>
    <xf numFmtId="0" fontId="38" fillId="43" borderId="21" xfId="0" applyFont="1" applyFill="1" applyBorder="1" applyAlignment="1" applyProtection="1">
      <alignment vertical="top"/>
      <protection/>
    </xf>
    <xf numFmtId="0" fontId="23" fillId="43" borderId="38" xfId="0" applyFont="1" applyFill="1" applyBorder="1" applyAlignment="1" applyProtection="1">
      <alignment wrapText="1"/>
      <protection/>
    </xf>
    <xf numFmtId="0" fontId="22" fillId="43" borderId="11" xfId="0" applyFont="1" applyFill="1" applyBorder="1" applyAlignment="1" applyProtection="1">
      <alignment vertical="center"/>
      <protection/>
    </xf>
    <xf numFmtId="0" fontId="22" fillId="43" borderId="11" xfId="0" applyFont="1" applyFill="1" applyBorder="1" applyAlignment="1" applyProtection="1">
      <alignment horizontal="center" wrapText="1"/>
      <protection/>
    </xf>
    <xf numFmtId="2" fontId="22" fillId="43" borderId="11" xfId="0" applyNumberFormat="1" applyFont="1" applyFill="1" applyBorder="1" applyAlignment="1" applyProtection="1">
      <alignment horizontal="center" wrapText="1"/>
      <protection/>
    </xf>
    <xf numFmtId="0" fontId="23" fillId="43" borderId="22" xfId="0" applyFont="1" applyFill="1" applyBorder="1" applyAlignment="1" applyProtection="1">
      <alignment/>
      <protection/>
    </xf>
    <xf numFmtId="2" fontId="23" fillId="43" borderId="0" xfId="0" applyNumberFormat="1" applyFont="1" applyFill="1" applyBorder="1" applyAlignment="1" applyProtection="1">
      <alignment horizontal="center" vertical="center"/>
      <protection/>
    </xf>
    <xf numFmtId="4" fontId="23" fillId="43" borderId="0" xfId="0" applyNumberFormat="1" applyFont="1" applyFill="1" applyBorder="1" applyAlignment="1" applyProtection="1">
      <alignment horizontal="center" vertical="center"/>
      <protection/>
    </xf>
    <xf numFmtId="0" fontId="23" fillId="43" borderId="24" xfId="0" applyFont="1" applyFill="1" applyBorder="1" applyAlignment="1" applyProtection="1">
      <alignment/>
      <protection/>
    </xf>
    <xf numFmtId="0" fontId="23" fillId="43" borderId="0" xfId="0" applyFont="1" applyFill="1" applyAlignment="1" applyProtection="1">
      <alignment/>
      <protection/>
    </xf>
    <xf numFmtId="0" fontId="23" fillId="43" borderId="0" xfId="0" applyFont="1" applyFill="1" applyAlignment="1" applyProtection="1">
      <alignment horizontal="center" vertical="center"/>
      <protection/>
    </xf>
    <xf numFmtId="0" fontId="23" fillId="43" borderId="26" xfId="0" applyFont="1" applyFill="1" applyBorder="1" applyAlignment="1" applyProtection="1">
      <alignment horizontal="center" vertical="center"/>
      <protection/>
    </xf>
    <xf numFmtId="0" fontId="23" fillId="43" borderId="27" xfId="0" applyFont="1" applyFill="1" applyBorder="1" applyAlignment="1" applyProtection="1">
      <alignment/>
      <protection/>
    </xf>
    <xf numFmtId="0" fontId="23" fillId="43" borderId="23" xfId="0" applyFont="1" applyFill="1" applyBorder="1" applyAlignment="1" applyProtection="1">
      <alignment/>
      <protection/>
    </xf>
    <xf numFmtId="0" fontId="23" fillId="43" borderId="25" xfId="0" applyFont="1" applyFill="1" applyBorder="1" applyAlignment="1" applyProtection="1">
      <alignment/>
      <protection/>
    </xf>
    <xf numFmtId="0" fontId="23" fillId="43" borderId="0" xfId="0" applyFont="1" applyFill="1" applyAlignment="1" applyProtection="1">
      <alignment vertical="center"/>
      <protection/>
    </xf>
    <xf numFmtId="0" fontId="23" fillId="43" borderId="26" xfId="0" applyFont="1" applyFill="1" applyBorder="1" applyAlignment="1" applyProtection="1">
      <alignment vertical="center"/>
      <protection/>
    </xf>
    <xf numFmtId="0" fontId="64" fillId="0" borderId="0" xfId="0" applyFont="1" applyFill="1" applyBorder="1" applyAlignment="1">
      <alignment wrapText="1"/>
    </xf>
    <xf numFmtId="0" fontId="90" fillId="0" borderId="0" xfId="0" applyFont="1" applyAlignment="1">
      <alignment/>
    </xf>
    <xf numFmtId="0" fontId="57" fillId="0" borderId="26" xfId="0" applyFont="1" applyFill="1" applyBorder="1" applyAlignment="1">
      <alignment/>
    </xf>
    <xf numFmtId="0" fontId="63" fillId="0" borderId="0" xfId="0" applyFont="1" applyFill="1" applyBorder="1" applyAlignment="1">
      <alignment/>
    </xf>
    <xf numFmtId="0" fontId="71" fillId="0" borderId="0" xfId="0" applyFont="1" applyFill="1" applyAlignment="1">
      <alignment/>
    </xf>
    <xf numFmtId="0" fontId="57" fillId="0" borderId="0" xfId="0" applyFont="1" applyFill="1" applyAlignment="1">
      <alignment horizontal="center" vertical="center"/>
    </xf>
    <xf numFmtId="0" fontId="59" fillId="0" borderId="0" xfId="0" applyFont="1" applyAlignment="1">
      <alignment/>
    </xf>
    <xf numFmtId="0" fontId="59" fillId="0" borderId="0" xfId="0" applyFont="1" applyFill="1" applyAlignment="1">
      <alignment/>
    </xf>
    <xf numFmtId="0" fontId="21" fillId="0" borderId="11" xfId="0" applyFont="1" applyFill="1" applyBorder="1" applyAlignment="1">
      <alignment/>
    </xf>
    <xf numFmtId="0" fontId="21" fillId="0" borderId="22" xfId="0" applyFont="1" applyFill="1" applyBorder="1" applyAlignment="1">
      <alignment/>
    </xf>
    <xf numFmtId="0" fontId="21" fillId="0" borderId="23" xfId="0" applyFont="1" applyFill="1" applyBorder="1" applyAlignment="1">
      <alignment/>
    </xf>
    <xf numFmtId="0" fontId="21" fillId="0" borderId="0" xfId="0" applyFont="1" applyFill="1" applyBorder="1" applyAlignment="1">
      <alignment horizontal="right"/>
    </xf>
    <xf numFmtId="2" fontId="38" fillId="36" borderId="20" xfId="0" applyNumberFormat="1" applyFont="1" applyFill="1" applyBorder="1" applyAlignment="1">
      <alignment/>
    </xf>
    <xf numFmtId="0" fontId="21" fillId="0" borderId="24" xfId="0" applyFont="1" applyFill="1" applyBorder="1" applyAlignment="1">
      <alignment/>
    </xf>
    <xf numFmtId="2" fontId="88" fillId="28" borderId="20" xfId="0" applyNumberFormat="1" applyFont="1" applyFill="1" applyBorder="1" applyAlignment="1">
      <alignment/>
    </xf>
    <xf numFmtId="0" fontId="21" fillId="0" borderId="25" xfId="0" applyFont="1" applyFill="1" applyBorder="1" applyAlignment="1">
      <alignment/>
    </xf>
    <xf numFmtId="0" fontId="21" fillId="0" borderId="26" xfId="0" applyFont="1" applyFill="1" applyBorder="1" applyAlignment="1">
      <alignment/>
    </xf>
    <xf numFmtId="0" fontId="21" fillId="0" borderId="27" xfId="0" applyFont="1" applyFill="1" applyBorder="1" applyAlignment="1">
      <alignment/>
    </xf>
    <xf numFmtId="4" fontId="22" fillId="0" borderId="37" xfId="0" applyNumberFormat="1" applyFont="1" applyFill="1" applyBorder="1" applyAlignment="1">
      <alignment horizontal="center" vertical="center"/>
    </xf>
    <xf numFmtId="4" fontId="22" fillId="0" borderId="44" xfId="0" applyNumberFormat="1" applyFont="1" applyFill="1" applyBorder="1" applyAlignment="1">
      <alignment horizontal="center" vertical="center"/>
    </xf>
    <xf numFmtId="4" fontId="23" fillId="0" borderId="45" xfId="0" applyNumberFormat="1" applyFont="1" applyFill="1" applyBorder="1" applyAlignment="1">
      <alignment horizontal="center" vertical="center" wrapText="1"/>
    </xf>
    <xf numFmtId="4" fontId="23" fillId="0" borderId="39" xfId="0" applyNumberFormat="1" applyFont="1" applyFill="1" applyBorder="1" applyAlignment="1">
      <alignment horizontal="center" vertical="center" wrapText="1"/>
    </xf>
    <xf numFmtId="4" fontId="23" fillId="0" borderId="44" xfId="0" applyNumberFormat="1" applyFont="1" applyFill="1" applyBorder="1" applyAlignment="1">
      <alignment horizontal="center" vertical="center" wrapText="1"/>
    </xf>
    <xf numFmtId="0" fontId="23" fillId="0" borderId="20" xfId="0" applyFont="1" applyFill="1" applyBorder="1" applyAlignment="1">
      <alignment/>
    </xf>
    <xf numFmtId="4" fontId="74" fillId="40" borderId="37" xfId="0" applyNumberFormat="1" applyFont="1" applyFill="1" applyBorder="1" applyAlignment="1">
      <alignment horizontal="center" vertical="center" wrapText="1"/>
    </xf>
    <xf numFmtId="4" fontId="74" fillId="40" borderId="20" xfId="0" applyNumberFormat="1" applyFont="1" applyFill="1" applyBorder="1" applyAlignment="1">
      <alignment horizontal="center" vertical="center" wrapText="1"/>
    </xf>
    <xf numFmtId="4" fontId="23" fillId="40" borderId="45" xfId="0" applyNumberFormat="1" applyFont="1" applyFill="1" applyBorder="1" applyAlignment="1">
      <alignment horizontal="center" vertical="center" wrapText="1"/>
    </xf>
    <xf numFmtId="4" fontId="23" fillId="40" borderId="20" xfId="0" applyNumberFormat="1" applyFont="1" applyFill="1" applyBorder="1" applyAlignment="1">
      <alignment horizontal="center" vertical="center" wrapText="1"/>
    </xf>
    <xf numFmtId="0" fontId="72" fillId="0" borderId="0" xfId="0" applyFont="1" applyFill="1" applyBorder="1" applyAlignment="1">
      <alignment/>
    </xf>
    <xf numFmtId="0" fontId="23" fillId="0" borderId="20" xfId="0" applyFont="1" applyFill="1" applyBorder="1" applyAlignment="1">
      <alignment wrapText="1"/>
    </xf>
    <xf numFmtId="0" fontId="57" fillId="0" borderId="0" xfId="0" applyFont="1" applyFill="1" applyAlignment="1">
      <alignment wrapText="1"/>
    </xf>
    <xf numFmtId="0" fontId="57" fillId="35" borderId="11" xfId="0" applyFont="1" applyFill="1" applyBorder="1" applyAlignment="1">
      <alignment/>
    </xf>
    <xf numFmtId="0" fontId="57" fillId="35" borderId="22" xfId="0" applyFont="1" applyFill="1" applyBorder="1" applyAlignment="1">
      <alignment/>
    </xf>
    <xf numFmtId="0" fontId="57" fillId="35" borderId="6" xfId="0" applyFont="1" applyFill="1" applyBorder="1" applyAlignment="1">
      <alignment/>
    </xf>
    <xf numFmtId="0" fontId="57" fillId="35" borderId="0" xfId="0" applyFont="1" applyFill="1" applyBorder="1" applyAlignment="1">
      <alignment wrapText="1"/>
    </xf>
    <xf numFmtId="0" fontId="71" fillId="35" borderId="23" xfId="0" applyFont="1" applyFill="1" applyBorder="1" applyAlignment="1">
      <alignment/>
    </xf>
    <xf numFmtId="0" fontId="71" fillId="35" borderId="0" xfId="0" applyFont="1" applyFill="1" applyBorder="1" applyAlignment="1">
      <alignment/>
    </xf>
    <xf numFmtId="0" fontId="57" fillId="35" borderId="23" xfId="0" applyFont="1" applyFill="1" applyBorder="1" applyAlignment="1">
      <alignment horizontal="center" vertical="center"/>
    </xf>
    <xf numFmtId="0" fontId="57" fillId="35" borderId="0" xfId="0" applyFont="1" applyFill="1" applyBorder="1" applyAlignment="1">
      <alignment horizontal="center" vertical="center"/>
    </xf>
    <xf numFmtId="0" fontId="57" fillId="35" borderId="25" xfId="0" applyFont="1" applyFill="1" applyBorder="1" applyAlignment="1">
      <alignment/>
    </xf>
    <xf numFmtId="0" fontId="57" fillId="35" borderId="26" xfId="0" applyFont="1" applyFill="1" applyBorder="1" applyAlignment="1">
      <alignment/>
    </xf>
    <xf numFmtId="3" fontId="23" fillId="35" borderId="45" xfId="0" applyNumberFormat="1" applyFont="1" applyFill="1" applyBorder="1" applyAlignment="1">
      <alignment horizontal="center" vertical="center" wrapText="1"/>
    </xf>
    <xf numFmtId="4" fontId="23" fillId="35" borderId="45" xfId="0" applyNumberFormat="1" applyFont="1" applyFill="1" applyBorder="1" applyAlignment="1">
      <alignment horizontal="center" vertical="center" wrapText="1"/>
    </xf>
    <xf numFmtId="0" fontId="71" fillId="35" borderId="24" xfId="0" applyFont="1" applyFill="1" applyBorder="1" applyAlignment="1">
      <alignment/>
    </xf>
    <xf numFmtId="0" fontId="57" fillId="35" borderId="24" xfId="0" applyFont="1" applyFill="1" applyBorder="1" applyAlignment="1">
      <alignment horizontal="center" vertical="center"/>
    </xf>
    <xf numFmtId="0" fontId="57" fillId="35" borderId="27" xfId="0" applyFont="1" applyFill="1" applyBorder="1" applyAlignment="1">
      <alignment/>
    </xf>
    <xf numFmtId="2" fontId="57" fillId="35" borderId="0" xfId="0" applyNumberFormat="1" applyFont="1" applyFill="1" applyBorder="1" applyAlignment="1">
      <alignment horizontal="center" vertical="center" wrapText="1"/>
    </xf>
    <xf numFmtId="0" fontId="57" fillId="35" borderId="29" xfId="0" applyFont="1" applyFill="1" applyBorder="1" applyAlignment="1">
      <alignment/>
    </xf>
    <xf numFmtId="0" fontId="57" fillId="35" borderId="0" xfId="0" applyFont="1" applyFill="1" applyAlignment="1">
      <alignment/>
    </xf>
    <xf numFmtId="4" fontId="23" fillId="36" borderId="44" xfId="0" applyNumberFormat="1" applyFont="1" applyFill="1" applyBorder="1" applyAlignment="1" applyProtection="1">
      <alignment horizontal="center" vertical="center" wrapText="1"/>
      <protection locked="0"/>
    </xf>
    <xf numFmtId="4" fontId="23" fillId="36" borderId="39" xfId="0" applyNumberFormat="1" applyFont="1" applyFill="1" applyBorder="1" applyAlignment="1" applyProtection="1">
      <alignment horizontal="center" vertical="center" wrapText="1"/>
      <protection locked="0"/>
    </xf>
    <xf numFmtId="4" fontId="23" fillId="36" borderId="45" xfId="0" applyNumberFormat="1" applyFont="1" applyFill="1" applyBorder="1" applyAlignment="1" applyProtection="1">
      <alignment horizontal="center" vertical="center" wrapText="1"/>
      <protection locked="0"/>
    </xf>
    <xf numFmtId="4" fontId="57" fillId="36" borderId="20" xfId="0" applyNumberFormat="1" applyFont="1" applyFill="1" applyBorder="1" applyAlignment="1" applyProtection="1">
      <alignment horizontal="center" vertical="center" wrapText="1"/>
      <protection locked="0"/>
    </xf>
    <xf numFmtId="0" fontId="57" fillId="36" borderId="20" xfId="0" applyFont="1" applyFill="1" applyBorder="1" applyAlignment="1" applyProtection="1">
      <alignment horizontal="center" vertical="center"/>
      <protection locked="0"/>
    </xf>
    <xf numFmtId="4" fontId="57" fillId="36" borderId="44" xfId="0" applyNumberFormat="1" applyFont="1" applyFill="1" applyBorder="1" applyAlignment="1" applyProtection="1">
      <alignment horizontal="center" vertical="center" wrapText="1"/>
      <protection locked="0"/>
    </xf>
    <xf numFmtId="4" fontId="57" fillId="28" borderId="20" xfId="0" applyNumberFormat="1" applyFont="1" applyFill="1" applyBorder="1" applyAlignment="1">
      <alignment horizontal="center" vertical="center" wrapText="1"/>
    </xf>
    <xf numFmtId="2" fontId="23" fillId="28" borderId="20" xfId="0" applyNumberFormat="1" applyFont="1" applyFill="1" applyBorder="1" applyAlignment="1">
      <alignment horizontal="center" vertical="center" wrapText="1"/>
    </xf>
    <xf numFmtId="2" fontId="57" fillId="28" borderId="20" xfId="0" applyNumberFormat="1" applyFont="1" applyFill="1" applyBorder="1" applyAlignment="1">
      <alignment horizontal="center" vertical="center" wrapText="1"/>
    </xf>
    <xf numFmtId="2" fontId="21" fillId="36" borderId="20" xfId="0" applyNumberFormat="1" applyFont="1" applyFill="1" applyBorder="1" applyAlignment="1" applyProtection="1">
      <alignment vertical="center"/>
      <protection locked="0"/>
    </xf>
    <xf numFmtId="0" fontId="23" fillId="37" borderId="42" xfId="0" applyFont="1" applyFill="1" applyBorder="1" applyAlignment="1" applyProtection="1">
      <alignment horizontal="center"/>
      <protection/>
    </xf>
    <xf numFmtId="0" fontId="23" fillId="37" borderId="42" xfId="0" applyFont="1" applyFill="1" applyBorder="1" applyAlignment="1" applyProtection="1">
      <alignment horizontal="center" vertical="top"/>
      <protection locked="0"/>
    </xf>
    <xf numFmtId="0" fontId="23" fillId="37" borderId="42" xfId="0" applyFont="1" applyFill="1" applyBorder="1" applyAlignment="1" applyProtection="1">
      <alignment horizontal="center"/>
      <protection locked="0"/>
    </xf>
    <xf numFmtId="0" fontId="22" fillId="37" borderId="20" xfId="0" applyFont="1" applyFill="1" applyBorder="1" applyAlignment="1">
      <alignment horizontal="center"/>
    </xf>
    <xf numFmtId="0" fontId="23" fillId="37" borderId="20" xfId="0" applyFont="1" applyFill="1" applyBorder="1" applyAlignment="1">
      <alignment horizontal="center"/>
    </xf>
    <xf numFmtId="172" fontId="23" fillId="37" borderId="20" xfId="0" applyNumberFormat="1" applyFont="1" applyFill="1" applyBorder="1" applyAlignment="1">
      <alignment horizontal="center"/>
    </xf>
    <xf numFmtId="0" fontId="23" fillId="37" borderId="20" xfId="0" applyFont="1" applyFill="1" applyBorder="1" applyAlignment="1">
      <alignment vertical="top"/>
    </xf>
    <xf numFmtId="0" fontId="22" fillId="0" borderId="0" xfId="0" applyFont="1" applyFill="1" applyAlignment="1">
      <alignment/>
    </xf>
    <xf numFmtId="49" fontId="22" fillId="0" borderId="0" xfId="0" applyNumberFormat="1" applyFont="1" applyFill="1" applyAlignment="1">
      <alignment/>
    </xf>
    <xf numFmtId="0" fontId="23" fillId="0" borderId="0" xfId="0" applyFont="1" applyFill="1" applyAlignment="1">
      <alignment horizontal="center" vertical="center"/>
    </xf>
    <xf numFmtId="4"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0" fontId="23" fillId="0" borderId="0" xfId="0" applyFont="1" applyFill="1" applyAlignment="1">
      <alignment horizontal="left" vertical="center"/>
    </xf>
    <xf numFmtId="49" fontId="23" fillId="0" borderId="0" xfId="0" applyNumberFormat="1" applyFont="1" applyFill="1" applyBorder="1" applyAlignment="1">
      <alignment/>
    </xf>
    <xf numFmtId="49" fontId="23" fillId="0" borderId="0" xfId="0" applyNumberFormat="1" applyFont="1" applyFill="1" applyAlignment="1">
      <alignment/>
    </xf>
    <xf numFmtId="49" fontId="23" fillId="35" borderId="11" xfId="0" applyNumberFormat="1" applyFont="1" applyFill="1" applyBorder="1" applyAlignment="1">
      <alignment/>
    </xf>
    <xf numFmtId="4" fontId="22" fillId="35" borderId="0" xfId="0" applyNumberFormat="1" applyFont="1" applyFill="1" applyBorder="1" applyAlignment="1">
      <alignment horizontal="left" vertical="center"/>
    </xf>
    <xf numFmtId="49" fontId="22" fillId="35" borderId="0" xfId="0" applyNumberFormat="1" applyFont="1" applyFill="1" applyBorder="1" applyAlignment="1">
      <alignment horizontal="left" vertical="center"/>
    </xf>
    <xf numFmtId="4" fontId="23" fillId="35" borderId="0" xfId="0" applyNumberFormat="1" applyFont="1" applyFill="1" applyBorder="1" applyAlignment="1">
      <alignment horizontal="left" vertical="center"/>
    </xf>
    <xf numFmtId="49" fontId="23" fillId="35" borderId="0" xfId="0" applyNumberFormat="1" applyFont="1" applyFill="1" applyBorder="1" applyAlignment="1">
      <alignment horizontal="left" vertical="center"/>
    </xf>
    <xf numFmtId="49" fontId="23" fillId="35" borderId="26" xfId="0" applyNumberFormat="1" applyFont="1" applyFill="1" applyBorder="1" applyAlignment="1">
      <alignment/>
    </xf>
    <xf numFmtId="0" fontId="23" fillId="0" borderId="20" xfId="0" applyFont="1" applyFill="1" applyBorder="1" applyAlignment="1">
      <alignment horizontal="center"/>
    </xf>
    <xf numFmtId="1" fontId="23" fillId="37" borderId="20" xfId="0" applyNumberFormat="1" applyFont="1" applyFill="1" applyBorder="1" applyAlignment="1">
      <alignment horizontal="center"/>
    </xf>
    <xf numFmtId="2" fontId="23" fillId="0" borderId="20" xfId="0" applyNumberFormat="1" applyFont="1" applyFill="1" applyBorder="1" applyAlignment="1">
      <alignment horizontal="center"/>
    </xf>
    <xf numFmtId="1" fontId="23" fillId="37" borderId="20" xfId="0" applyNumberFormat="1" applyFont="1" applyFill="1" applyBorder="1" applyAlignment="1">
      <alignment horizontal="center" vertical="center" wrapText="1"/>
    </xf>
    <xf numFmtId="4" fontId="23" fillId="28" borderId="20" xfId="0" applyNumberFormat="1" applyFont="1" applyFill="1" applyBorder="1" applyAlignment="1">
      <alignment horizontal="center"/>
    </xf>
    <xf numFmtId="2" fontId="82" fillId="28" borderId="20" xfId="0" applyNumberFormat="1" applyFont="1" applyFill="1" applyBorder="1" applyAlignment="1" applyProtection="1">
      <alignment horizontal="center" vertical="center"/>
      <protection/>
    </xf>
    <xf numFmtId="174" fontId="23" fillId="36" borderId="20" xfId="0" applyNumberFormat="1" applyFont="1" applyFill="1" applyBorder="1" applyAlignment="1" applyProtection="1">
      <alignment horizontal="center" vertical="center" wrapText="1"/>
      <protection locked="0"/>
    </xf>
    <xf numFmtId="174" fontId="23" fillId="37" borderId="20" xfId="0" applyNumberFormat="1" applyFont="1" applyFill="1" applyBorder="1" applyAlignment="1" applyProtection="1">
      <alignment horizontal="center" vertical="center" wrapText="1"/>
      <protection/>
    </xf>
    <xf numFmtId="173" fontId="22" fillId="28" borderId="20" xfId="0" applyNumberFormat="1" applyFont="1" applyFill="1" applyBorder="1" applyAlignment="1">
      <alignment horizontal="center" vertical="center"/>
    </xf>
    <xf numFmtId="173" fontId="22" fillId="28" borderId="46" xfId="0" applyNumberFormat="1" applyFont="1" applyFill="1" applyBorder="1" applyAlignment="1">
      <alignment horizontal="center" vertical="center"/>
    </xf>
    <xf numFmtId="2" fontId="23" fillId="35" borderId="44" xfId="0" applyNumberFormat="1" applyFont="1" applyFill="1" applyBorder="1" applyAlignment="1">
      <alignment/>
    </xf>
    <xf numFmtId="2" fontId="23" fillId="35" borderId="44" xfId="0" applyNumberFormat="1" applyFont="1" applyFill="1" applyBorder="1" applyAlignment="1">
      <alignment vertical="center"/>
    </xf>
    <xf numFmtId="14" fontId="0" fillId="0" borderId="0" xfId="0" applyNumberFormat="1" applyAlignment="1">
      <alignment/>
    </xf>
    <xf numFmtId="0" fontId="1" fillId="0" borderId="0" xfId="0" applyFont="1" applyAlignment="1">
      <alignment horizontal="left"/>
    </xf>
    <xf numFmtId="0" fontId="23" fillId="10" borderId="20" xfId="0" applyFont="1" applyFill="1" applyBorder="1" applyAlignment="1" applyProtection="1">
      <alignment horizontal="center"/>
      <protection locked="0"/>
    </xf>
    <xf numFmtId="0" fontId="23" fillId="10" borderId="20" xfId="0" applyFont="1" applyFill="1" applyBorder="1" applyAlignment="1" applyProtection="1">
      <alignment horizontal="center" vertical="center"/>
      <protection locked="0"/>
    </xf>
    <xf numFmtId="0" fontId="1" fillId="2" borderId="42" xfId="0" applyFont="1" applyFill="1" applyBorder="1" applyAlignment="1">
      <alignment/>
    </xf>
    <xf numFmtId="0" fontId="1" fillId="2" borderId="43" xfId="0" applyFont="1" applyFill="1" applyBorder="1" applyAlignment="1">
      <alignment/>
    </xf>
    <xf numFmtId="0" fontId="1" fillId="2" borderId="44" xfId="0" applyFont="1" applyFill="1" applyBorder="1" applyAlignment="1">
      <alignment/>
    </xf>
    <xf numFmtId="0" fontId="1" fillId="0" borderId="29" xfId="0" applyFont="1" applyBorder="1" applyAlignment="1">
      <alignment/>
    </xf>
    <xf numFmtId="0" fontId="0" fillId="0" borderId="29" xfId="0" applyFont="1" applyBorder="1" applyAlignment="1">
      <alignment/>
    </xf>
    <xf numFmtId="14" fontId="0" fillId="0" borderId="29" xfId="0" applyNumberFormat="1" applyBorder="1" applyAlignment="1">
      <alignment/>
    </xf>
    <xf numFmtId="0" fontId="23" fillId="10" borderId="20" xfId="0" applyFont="1" applyFill="1" applyBorder="1" applyAlignment="1" applyProtection="1">
      <alignment vertical="top"/>
      <protection locked="0"/>
    </xf>
    <xf numFmtId="0" fontId="91" fillId="35" borderId="15" xfId="0" applyFont="1" applyFill="1" applyBorder="1" applyAlignment="1">
      <alignment horizontal="center" wrapText="1"/>
    </xf>
    <xf numFmtId="0" fontId="92" fillId="35" borderId="0" xfId="0" applyFont="1" applyFill="1" applyBorder="1" applyAlignment="1">
      <alignment/>
    </xf>
    <xf numFmtId="0" fontId="92" fillId="35" borderId="16" xfId="0" applyFont="1" applyFill="1" applyBorder="1" applyAlignment="1">
      <alignment/>
    </xf>
    <xf numFmtId="0" fontId="23" fillId="35" borderId="0" xfId="0" applyFont="1" applyFill="1" applyBorder="1" applyAlignment="1">
      <alignment vertical="top" wrapText="1"/>
    </xf>
    <xf numFmtId="0" fontId="57" fillId="35" borderId="0" xfId="0" applyFont="1" applyFill="1" applyBorder="1" applyAlignment="1">
      <alignment vertical="top" wrapText="1"/>
    </xf>
    <xf numFmtId="0" fontId="23" fillId="35" borderId="0" xfId="0" applyFont="1" applyFill="1" applyBorder="1" applyAlignment="1">
      <alignment horizontal="left" vertical="top" wrapText="1"/>
    </xf>
    <xf numFmtId="0" fontId="57" fillId="35" borderId="0" xfId="0" applyFont="1" applyFill="1" applyBorder="1" applyAlignment="1">
      <alignment vertical="top"/>
    </xf>
    <xf numFmtId="0" fontId="57" fillId="35" borderId="16" xfId="0" applyFont="1" applyFill="1" applyBorder="1" applyAlignment="1">
      <alignment vertical="top"/>
    </xf>
    <xf numFmtId="0" fontId="57" fillId="35" borderId="0" xfId="0" applyFont="1" applyFill="1" applyBorder="1" applyAlignment="1">
      <alignment horizontal="left" vertical="top" wrapText="1"/>
    </xf>
    <xf numFmtId="0" fontId="112" fillId="35" borderId="15" xfId="0" applyFont="1" applyFill="1" applyBorder="1" applyAlignment="1">
      <alignment horizontal="center" vertical="top"/>
    </xf>
    <xf numFmtId="0" fontId="112" fillId="35" borderId="0" xfId="0" applyFont="1" applyFill="1" applyBorder="1" applyAlignment="1">
      <alignment horizontal="center" vertical="top"/>
    </xf>
    <xf numFmtId="0" fontId="112" fillId="35" borderId="16" xfId="0" applyFont="1" applyFill="1" applyBorder="1" applyAlignment="1">
      <alignment horizontal="center" vertical="top"/>
    </xf>
    <xf numFmtId="0" fontId="91" fillId="35" borderId="15" xfId="0" applyFont="1" applyFill="1" applyBorder="1" applyAlignment="1">
      <alignment horizontal="center"/>
    </xf>
    <xf numFmtId="0" fontId="91" fillId="35" borderId="0" xfId="0" applyFont="1" applyFill="1" applyBorder="1" applyAlignment="1">
      <alignment horizontal="center"/>
    </xf>
    <xf numFmtId="0" fontId="91" fillId="35" borderId="16" xfId="0" applyFont="1" applyFill="1" applyBorder="1" applyAlignment="1">
      <alignment horizontal="center"/>
    </xf>
    <xf numFmtId="0" fontId="113" fillId="35" borderId="15" xfId="0" applyFont="1" applyFill="1" applyBorder="1" applyAlignment="1">
      <alignment horizontal="center" vertical="top"/>
    </xf>
    <xf numFmtId="0" fontId="113" fillId="35" borderId="0" xfId="0" applyFont="1" applyFill="1" applyBorder="1" applyAlignment="1">
      <alignment horizontal="center" vertical="top"/>
    </xf>
    <xf numFmtId="0" fontId="113" fillId="35" borderId="16" xfId="0" applyFont="1" applyFill="1" applyBorder="1" applyAlignment="1">
      <alignment horizontal="center" vertical="top"/>
    </xf>
    <xf numFmtId="0" fontId="22" fillId="35" borderId="0" xfId="0" applyFont="1" applyFill="1" applyBorder="1" applyAlignment="1">
      <alignment vertical="top" wrapText="1"/>
    </xf>
    <xf numFmtId="0" fontId="22" fillId="35" borderId="0" xfId="0" applyFont="1" applyFill="1" applyBorder="1" applyAlignment="1">
      <alignment vertical="top"/>
    </xf>
    <xf numFmtId="0" fontId="22" fillId="35" borderId="0" xfId="0" applyNumberFormat="1" applyFont="1" applyFill="1" applyBorder="1" applyAlignment="1">
      <alignment vertical="top" wrapText="1"/>
    </xf>
    <xf numFmtId="0" fontId="23" fillId="35" borderId="24" xfId="0" applyFont="1" applyFill="1" applyBorder="1" applyAlignment="1">
      <alignment horizontal="left" vertical="top" wrapText="1"/>
    </xf>
    <xf numFmtId="0" fontId="23" fillId="35" borderId="0" xfId="0" applyFont="1" applyFill="1" applyBorder="1" applyAlignment="1">
      <alignment horizontal="left" vertical="top"/>
    </xf>
    <xf numFmtId="0" fontId="23" fillId="35" borderId="24" xfId="0" applyFont="1" applyFill="1" applyBorder="1" applyAlignment="1">
      <alignment horizontal="left" vertical="top"/>
    </xf>
    <xf numFmtId="0" fontId="23" fillId="0" borderId="0" xfId="0" applyFont="1" applyAlignment="1">
      <alignment horizontal="left" vertical="top"/>
    </xf>
    <xf numFmtId="0" fontId="22" fillId="35" borderId="26" xfId="0" applyFont="1" applyFill="1" applyBorder="1" applyAlignment="1">
      <alignment vertical="top" wrapText="1"/>
    </xf>
    <xf numFmtId="2" fontId="23" fillId="36" borderId="42" xfId="0" applyNumberFormat="1" applyFont="1" applyFill="1" applyBorder="1" applyAlignment="1" applyProtection="1">
      <alignment horizontal="center" vertical="center" wrapText="1"/>
      <protection locked="0"/>
    </xf>
    <xf numFmtId="0" fontId="23" fillId="36" borderId="44" xfId="0" applyFont="1" applyFill="1" applyBorder="1" applyAlignment="1" applyProtection="1">
      <alignment horizontal="center" vertical="center" wrapText="1"/>
      <protection locked="0"/>
    </xf>
    <xf numFmtId="0" fontId="22" fillId="35" borderId="43" xfId="0" applyFont="1" applyFill="1" applyBorder="1" applyAlignment="1">
      <alignment wrapText="1"/>
    </xf>
    <xf numFmtId="0" fontId="23" fillId="35" borderId="43" xfId="0" applyFont="1" applyFill="1" applyBorder="1" applyAlignment="1">
      <alignment wrapText="1"/>
    </xf>
    <xf numFmtId="0" fontId="22" fillId="35" borderId="6" xfId="0" applyFont="1" applyFill="1" applyBorder="1" applyAlignment="1">
      <alignment horizontal="left" wrapText="1"/>
    </xf>
    <xf numFmtId="0" fontId="22" fillId="0" borderId="20" xfId="0" applyFont="1" applyBorder="1" applyAlignment="1">
      <alignment horizontal="left" vertical="center"/>
    </xf>
    <xf numFmtId="0" fontId="22" fillId="0" borderId="20" xfId="0" applyFont="1" applyBorder="1" applyAlignment="1">
      <alignment horizontal="center" vertical="center" wrapText="1"/>
    </xf>
    <xf numFmtId="0" fontId="22" fillId="0" borderId="37" xfId="0" applyFont="1" applyBorder="1" applyAlignment="1">
      <alignment horizontal="left" vertical="center"/>
    </xf>
    <xf numFmtId="0" fontId="22" fillId="0" borderId="41" xfId="0" applyFont="1" applyBorder="1" applyAlignment="1">
      <alignment horizontal="left" vertical="center"/>
    </xf>
    <xf numFmtId="0" fontId="23" fillId="0" borderId="37" xfId="0" applyFont="1" applyBorder="1" applyAlignment="1">
      <alignment horizontal="left" vertical="center" wrapText="1"/>
    </xf>
    <xf numFmtId="0" fontId="23" fillId="0" borderId="45" xfId="0" applyFont="1" applyBorder="1" applyAlignment="1">
      <alignment horizontal="left" vertical="center" wrapText="1"/>
    </xf>
    <xf numFmtId="0" fontId="23" fillId="0" borderId="41" xfId="0" applyFont="1" applyBorder="1" applyAlignment="1">
      <alignment horizontal="left" vertical="center" wrapText="1"/>
    </xf>
    <xf numFmtId="0" fontId="34" fillId="0" borderId="0" xfId="0" applyFont="1" applyFill="1" applyAlignment="1">
      <alignment horizontal="left" vertical="center" wrapText="1"/>
    </xf>
    <xf numFmtId="0" fontId="23" fillId="0" borderId="20" xfId="0" applyFont="1" applyBorder="1" applyAlignment="1">
      <alignment horizontal="left" vertical="center" wrapText="1"/>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20" xfId="0" applyFont="1" applyBorder="1" applyAlignment="1">
      <alignment horizontal="center" vertical="center"/>
    </xf>
    <xf numFmtId="0" fontId="22" fillId="0" borderId="37" xfId="0" applyFont="1" applyBorder="1" applyAlignment="1">
      <alignment horizontal="center" vertical="center" wrapText="1"/>
    </xf>
    <xf numFmtId="0" fontId="22" fillId="0" borderId="41" xfId="0" applyFont="1" applyBorder="1" applyAlignment="1">
      <alignment horizontal="center" vertical="center" wrapText="1"/>
    </xf>
    <xf numFmtId="0" fontId="21" fillId="0" borderId="23" xfId="0" applyFont="1" applyFill="1" applyBorder="1" applyAlignment="1">
      <alignment horizontal="right" vertical="center"/>
    </xf>
    <xf numFmtId="0" fontId="21" fillId="0" borderId="0" xfId="0" applyFont="1" applyFill="1" applyBorder="1" applyAlignment="1">
      <alignment horizontal="right" vertical="center"/>
    </xf>
    <xf numFmtId="2" fontId="23" fillId="37" borderId="42" xfId="0" applyNumberFormat="1" applyFont="1" applyFill="1" applyBorder="1" applyAlignment="1" applyProtection="1">
      <alignment horizontal="center" vertical="center" wrapText="1"/>
      <protection/>
    </xf>
    <xf numFmtId="2" fontId="23" fillId="37" borderId="44" xfId="0" applyNumberFormat="1" applyFont="1" applyFill="1" applyBorder="1" applyAlignment="1" applyProtection="1">
      <alignment horizontal="center" vertical="center" wrapText="1"/>
      <protection/>
    </xf>
    <xf numFmtId="4" fontId="22" fillId="39" borderId="37" xfId="0" applyNumberFormat="1" applyFont="1" applyFill="1" applyBorder="1" applyAlignment="1" applyProtection="1">
      <alignment horizontal="center" vertical="center"/>
      <protection/>
    </xf>
    <xf numFmtId="4" fontId="22" fillId="39" borderId="41" xfId="0" applyNumberFormat="1" applyFont="1" applyFill="1" applyBorder="1" applyAlignment="1" applyProtection="1">
      <alignment horizontal="center" vertical="center"/>
      <protection/>
    </xf>
    <xf numFmtId="0" fontId="22" fillId="37" borderId="37" xfId="0" applyFont="1" applyFill="1" applyBorder="1" applyAlignment="1">
      <alignment horizontal="left" vertical="center"/>
    </xf>
    <xf numFmtId="0" fontId="22" fillId="37" borderId="41" xfId="0" applyFont="1" applyFill="1" applyBorder="1" applyAlignment="1">
      <alignment horizontal="left" vertical="center"/>
    </xf>
    <xf numFmtId="4" fontId="22" fillId="39" borderId="37" xfId="0" applyNumberFormat="1" applyFont="1" applyFill="1" applyBorder="1" applyAlignment="1" applyProtection="1">
      <alignment horizontal="center" vertical="center" wrapText="1"/>
      <protection/>
    </xf>
    <xf numFmtId="4" fontId="22" fillId="39" borderId="41" xfId="0" applyNumberFormat="1" applyFont="1" applyFill="1" applyBorder="1" applyAlignment="1" applyProtection="1">
      <alignment horizontal="center" vertical="center" wrapText="1"/>
      <protection/>
    </xf>
    <xf numFmtId="0" fontId="22" fillId="39" borderId="20" xfId="0" applyFont="1" applyFill="1" applyBorder="1" applyAlignment="1" applyProtection="1">
      <alignment horizontal="center" vertical="center" wrapText="1"/>
      <protection/>
    </xf>
    <xf numFmtId="2" fontId="22" fillId="37" borderId="37" xfId="0" applyNumberFormat="1" applyFont="1" applyFill="1" applyBorder="1" applyAlignment="1">
      <alignment horizontal="center" vertical="center" wrapText="1"/>
    </xf>
    <xf numFmtId="2" fontId="22" fillId="37" borderId="45" xfId="0" applyNumberFormat="1" applyFont="1" applyFill="1" applyBorder="1" applyAlignment="1">
      <alignment horizontal="center" vertical="center" wrapText="1"/>
    </xf>
    <xf numFmtId="2" fontId="22" fillId="37" borderId="41" xfId="0" applyNumberFormat="1" applyFont="1" applyFill="1" applyBorder="1" applyAlignment="1">
      <alignment horizontal="center" vertical="center" wrapText="1"/>
    </xf>
    <xf numFmtId="2" fontId="22" fillId="37" borderId="42" xfId="0" applyNumberFormat="1" applyFont="1" applyFill="1" applyBorder="1" applyAlignment="1">
      <alignment horizontal="center" vertical="center" wrapText="1"/>
    </xf>
    <xf numFmtId="2" fontId="22" fillId="37" borderId="44" xfId="0" applyNumberFormat="1" applyFont="1" applyFill="1" applyBorder="1" applyAlignment="1">
      <alignment horizontal="center" vertical="center" wrapText="1"/>
    </xf>
    <xf numFmtId="0" fontId="22" fillId="39" borderId="20" xfId="0" applyFont="1" applyFill="1" applyBorder="1" applyAlignment="1" applyProtection="1">
      <alignment horizontal="center" vertical="center"/>
      <protection/>
    </xf>
    <xf numFmtId="0" fontId="22" fillId="0" borderId="42" xfId="0" applyNumberFormat="1" applyFont="1" applyFill="1" applyBorder="1" applyAlignment="1">
      <alignment horizontal="right" vertical="center" wrapText="1"/>
    </xf>
    <xf numFmtId="0" fontId="22" fillId="0" borderId="43" xfId="0" applyNumberFormat="1" applyFont="1" applyFill="1" applyBorder="1" applyAlignment="1">
      <alignment horizontal="right" vertical="center" wrapText="1"/>
    </xf>
    <xf numFmtId="0" fontId="22" fillId="0" borderId="44" xfId="0" applyNumberFormat="1" applyFont="1" applyFill="1" applyBorder="1" applyAlignment="1">
      <alignment horizontal="right" vertical="center" wrapText="1"/>
    </xf>
    <xf numFmtId="0" fontId="21" fillId="0" borderId="0" xfId="0" applyFont="1" applyFill="1" applyAlignment="1">
      <alignment horizontal="left" vertical="top" wrapText="1"/>
    </xf>
    <xf numFmtId="4" fontId="22" fillId="0" borderId="20" xfId="0" applyNumberFormat="1" applyFont="1" applyFill="1" applyBorder="1" applyAlignment="1">
      <alignment horizontal="center" vertical="center"/>
    </xf>
    <xf numFmtId="0" fontId="22" fillId="0" borderId="20" xfId="0" applyFont="1" applyBorder="1" applyAlignment="1">
      <alignment horizontal="center" vertical="center"/>
    </xf>
    <xf numFmtId="2" fontId="22" fillId="0" borderId="20" xfId="0" applyNumberFormat="1" applyFont="1" applyFill="1" applyBorder="1" applyAlignment="1">
      <alignment horizontal="center" vertical="center" wrapText="1"/>
    </xf>
    <xf numFmtId="0" fontId="21" fillId="0" borderId="0" xfId="80" applyFont="1" applyFill="1" applyBorder="1" applyAlignment="1">
      <alignment horizontal="right"/>
      <protection/>
    </xf>
    <xf numFmtId="0" fontId="21" fillId="0" borderId="39" xfId="80" applyFont="1" applyFill="1" applyBorder="1" applyAlignment="1">
      <alignment horizontal="right"/>
      <protection/>
    </xf>
    <xf numFmtId="0" fontId="21" fillId="0" borderId="0" xfId="80" applyFont="1" applyFill="1" applyBorder="1" applyAlignment="1">
      <alignment horizontal="left" vertical="top" wrapText="1"/>
      <protection/>
    </xf>
    <xf numFmtId="0" fontId="34" fillId="0" borderId="0" xfId="80" applyFont="1" applyFill="1" applyAlignment="1">
      <alignment horizontal="left" vertical="top"/>
      <protection/>
    </xf>
    <xf numFmtId="0" fontId="22" fillId="39" borderId="42" xfId="0" applyFont="1" applyFill="1" applyBorder="1" applyAlignment="1" applyProtection="1">
      <alignment horizontal="center" vertical="center"/>
      <protection/>
    </xf>
    <xf numFmtId="0" fontId="22" fillId="39" borderId="44" xfId="0" applyFont="1" applyFill="1" applyBorder="1" applyAlignment="1" applyProtection="1">
      <alignment horizontal="center" vertical="center"/>
      <protection/>
    </xf>
    <xf numFmtId="0" fontId="21" fillId="0" borderId="0" xfId="0" applyFont="1" applyFill="1" applyAlignment="1" applyProtection="1">
      <alignment horizontal="left" vertical="top"/>
      <protection/>
    </xf>
    <xf numFmtId="0" fontId="21" fillId="0" borderId="0" xfId="0" applyFont="1" applyFill="1" applyAlignment="1" applyProtection="1">
      <alignment horizontal="left" vertical="top" wrapText="1"/>
      <protection/>
    </xf>
    <xf numFmtId="0" fontId="34" fillId="0" borderId="0" xfId="0" applyFont="1" applyFill="1" applyAlignment="1" applyProtection="1">
      <alignment horizontal="left" vertical="top" wrapText="1"/>
      <protection/>
    </xf>
    <xf numFmtId="173" fontId="22" fillId="39" borderId="42" xfId="0" applyNumberFormat="1" applyFont="1" applyFill="1" applyBorder="1" applyAlignment="1" applyProtection="1">
      <alignment horizontal="center" vertical="center"/>
      <protection/>
    </xf>
    <xf numFmtId="173" fontId="22" fillId="39" borderId="43" xfId="0" applyNumberFormat="1" applyFont="1" applyFill="1" applyBorder="1" applyAlignment="1" applyProtection="1">
      <alignment horizontal="center" vertical="center"/>
      <protection/>
    </xf>
    <xf numFmtId="173" fontId="22" fillId="39" borderId="44" xfId="0" applyNumberFormat="1" applyFont="1" applyFill="1" applyBorder="1" applyAlignment="1" applyProtection="1">
      <alignment horizontal="center" vertical="center"/>
      <protection/>
    </xf>
    <xf numFmtId="0" fontId="22" fillId="39" borderId="37" xfId="0" applyFont="1" applyFill="1" applyBorder="1" applyAlignment="1" applyProtection="1">
      <alignment horizontal="left" vertical="center"/>
      <protection/>
    </xf>
    <xf numFmtId="0" fontId="22" fillId="39" borderId="41" xfId="0" applyFont="1" applyFill="1" applyBorder="1" applyAlignment="1" applyProtection="1">
      <alignment horizontal="left" vertical="center"/>
      <protection/>
    </xf>
    <xf numFmtId="0" fontId="22" fillId="39" borderId="37" xfId="0" applyFont="1" applyFill="1" applyBorder="1" applyAlignment="1" applyProtection="1">
      <alignment horizontal="center" vertical="center" wrapText="1"/>
      <protection/>
    </xf>
    <xf numFmtId="0" fontId="22" fillId="39" borderId="45" xfId="0" applyFont="1" applyFill="1" applyBorder="1" applyAlignment="1" applyProtection="1">
      <alignment horizontal="center" vertical="center" wrapText="1"/>
      <protection/>
    </xf>
    <xf numFmtId="0" fontId="22" fillId="39" borderId="41" xfId="0" applyFont="1" applyFill="1" applyBorder="1" applyAlignment="1" applyProtection="1">
      <alignment horizontal="center" vertical="center" wrapText="1"/>
      <protection/>
    </xf>
    <xf numFmtId="0" fontId="22" fillId="39" borderId="43" xfId="0" applyFont="1" applyFill="1" applyBorder="1" applyAlignment="1" applyProtection="1">
      <alignment horizontal="center" vertical="center"/>
      <protection/>
    </xf>
    <xf numFmtId="4" fontId="22" fillId="39" borderId="20" xfId="0" applyNumberFormat="1" applyFont="1" applyFill="1" applyBorder="1" applyAlignment="1" applyProtection="1">
      <alignment horizontal="center" vertical="center"/>
      <protection/>
    </xf>
    <xf numFmtId="0" fontId="34" fillId="0" borderId="0" xfId="0" applyFont="1" applyFill="1" applyBorder="1" applyAlignment="1">
      <alignment horizontal="left" vertical="center"/>
    </xf>
    <xf numFmtId="2" fontId="22" fillId="37" borderId="20" xfId="0" applyNumberFormat="1" applyFont="1" applyFill="1" applyBorder="1" applyAlignment="1">
      <alignment horizontal="center" vertical="center"/>
    </xf>
    <xf numFmtId="0" fontId="22" fillId="37" borderId="42" xfId="0" applyNumberFormat="1" applyFont="1" applyFill="1" applyBorder="1" applyAlignment="1">
      <alignment horizontal="right" vertical="center"/>
    </xf>
    <xf numFmtId="0" fontId="22" fillId="37" borderId="43" xfId="0" applyNumberFormat="1" applyFont="1" applyFill="1" applyBorder="1" applyAlignment="1">
      <alignment horizontal="right" vertical="center"/>
    </xf>
    <xf numFmtId="0" fontId="22" fillId="37" borderId="44" xfId="0" applyNumberFormat="1" applyFont="1" applyFill="1" applyBorder="1" applyAlignment="1">
      <alignment horizontal="right" vertical="center"/>
    </xf>
    <xf numFmtId="0" fontId="22" fillId="37" borderId="20" xfId="0" applyFont="1" applyFill="1" applyBorder="1" applyAlignment="1">
      <alignment horizontal="right" vertical="center" wrapText="1"/>
    </xf>
    <xf numFmtId="0" fontId="23" fillId="37" borderId="20" xfId="0" applyFont="1" applyFill="1" applyBorder="1" applyAlignment="1">
      <alignment vertical="center" wrapText="1"/>
    </xf>
    <xf numFmtId="0" fontId="23" fillId="0" borderId="0" xfId="0" applyNumberFormat="1" applyFont="1" applyBorder="1" applyAlignment="1">
      <alignment wrapText="1"/>
    </xf>
    <xf numFmtId="0" fontId="57" fillId="0" borderId="0" xfId="0" applyFont="1" applyBorder="1" applyAlignment="1">
      <alignment/>
    </xf>
    <xf numFmtId="0" fontId="27" fillId="35" borderId="49" xfId="0" applyFont="1" applyFill="1" applyBorder="1" applyAlignment="1">
      <alignment vertical="center" wrapText="1"/>
    </xf>
    <xf numFmtId="0" fontId="27" fillId="35" borderId="50" xfId="0" applyFont="1" applyFill="1" applyBorder="1" applyAlignment="1">
      <alignment vertical="center" wrapText="1"/>
    </xf>
    <xf numFmtId="0" fontId="27" fillId="35" borderId="51" xfId="0" applyFont="1" applyFill="1" applyBorder="1" applyAlignment="1">
      <alignment vertical="center" wrapText="1"/>
    </xf>
    <xf numFmtId="0" fontId="72" fillId="0" borderId="0" xfId="0" applyFont="1" applyAlignment="1">
      <alignment horizontal="left" wrapText="1"/>
    </xf>
    <xf numFmtId="174" fontId="23" fillId="37" borderId="20" xfId="0" applyNumberFormat="1" applyFont="1" applyFill="1" applyBorder="1" applyAlignment="1">
      <alignment horizontal="right"/>
    </xf>
    <xf numFmtId="0" fontId="22" fillId="0" borderId="52" xfId="0" applyNumberFormat="1" applyFont="1" applyFill="1" applyBorder="1" applyAlignment="1">
      <alignment horizontal="right" vertical="center"/>
    </xf>
    <xf numFmtId="0" fontId="23" fillId="0" borderId="50" xfId="0" applyFont="1" applyBorder="1" applyAlignment="1">
      <alignment/>
    </xf>
    <xf numFmtId="0" fontId="23" fillId="0" borderId="53" xfId="0" applyFont="1" applyBorder="1" applyAlignment="1">
      <alignment/>
    </xf>
    <xf numFmtId="0" fontId="23" fillId="39" borderId="37" xfId="0" applyFont="1" applyFill="1" applyBorder="1" applyAlignment="1">
      <alignment horizontal="center" vertical="center" wrapText="1"/>
    </xf>
    <xf numFmtId="0" fontId="23" fillId="39" borderId="41" xfId="0" applyFont="1" applyFill="1" applyBorder="1" applyAlignment="1">
      <alignment horizontal="center" vertical="center" wrapText="1"/>
    </xf>
    <xf numFmtId="2" fontId="23" fillId="0" borderId="37" xfId="0" applyNumberFormat="1" applyFont="1" applyFill="1" applyBorder="1" applyAlignment="1">
      <alignment horizontal="center" vertical="center" wrapText="1"/>
    </xf>
    <xf numFmtId="2" fontId="23" fillId="0" borderId="41" xfId="0" applyNumberFormat="1" applyFont="1" applyFill="1" applyBorder="1" applyAlignment="1">
      <alignment horizontal="center" vertical="center" wrapText="1"/>
    </xf>
    <xf numFmtId="4" fontId="23" fillId="0" borderId="37" xfId="0" applyNumberFormat="1" applyFont="1" applyFill="1" applyBorder="1" applyAlignment="1">
      <alignment horizontal="center" vertical="center" wrapText="1"/>
    </xf>
    <xf numFmtId="4" fontId="23" fillId="0" borderId="41" xfId="0" applyNumberFormat="1"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2" fillId="0" borderId="11" xfId="0" applyNumberFormat="1" applyFont="1" applyFill="1" applyBorder="1" applyAlignment="1">
      <alignment horizontal="right" vertical="center"/>
    </xf>
    <xf numFmtId="0" fontId="23" fillId="0" borderId="11" xfId="0" applyFont="1" applyFill="1" applyBorder="1" applyAlignment="1">
      <alignment/>
    </xf>
    <xf numFmtId="0" fontId="22" fillId="0" borderId="42" xfId="0" applyNumberFormat="1" applyFont="1" applyFill="1" applyBorder="1" applyAlignment="1">
      <alignment horizontal="right" vertical="center"/>
    </xf>
    <xf numFmtId="0" fontId="23" fillId="0" borderId="43" xfId="0" applyFont="1" applyBorder="1" applyAlignment="1">
      <alignment/>
    </xf>
    <xf numFmtId="0" fontId="23" fillId="0" borderId="44" xfId="0" applyFont="1" applyBorder="1" applyAlignment="1">
      <alignment/>
    </xf>
    <xf numFmtId="0" fontId="57" fillId="0" borderId="23" xfId="0" applyFont="1" applyFill="1" applyBorder="1" applyAlignment="1">
      <alignment horizontal="right"/>
    </xf>
    <xf numFmtId="0" fontId="57" fillId="0" borderId="0" xfId="0" applyFont="1" applyFill="1" applyBorder="1" applyAlignment="1">
      <alignment horizontal="right"/>
    </xf>
    <xf numFmtId="2" fontId="22" fillId="0" borderId="42" xfId="0" applyNumberFormat="1" applyFont="1" applyFill="1" applyBorder="1" applyAlignment="1">
      <alignment horizontal="center" vertical="center"/>
    </xf>
    <xf numFmtId="0" fontId="22" fillId="0" borderId="20" xfId="0" applyFont="1" applyFill="1" applyBorder="1" applyAlignment="1">
      <alignment/>
    </xf>
    <xf numFmtId="0" fontId="23" fillId="0" borderId="20" xfId="0" applyFont="1" applyBorder="1" applyAlignment="1">
      <alignment/>
    </xf>
    <xf numFmtId="0" fontId="37" fillId="35" borderId="0" xfId="0" applyFont="1" applyFill="1" applyBorder="1" applyAlignment="1">
      <alignment wrapText="1"/>
    </xf>
    <xf numFmtId="0" fontId="21" fillId="35" borderId="0" xfId="0" applyFont="1" applyFill="1" applyBorder="1" applyAlignment="1">
      <alignment/>
    </xf>
    <xf numFmtId="0" fontId="21" fillId="35" borderId="0" xfId="0" applyFont="1" applyFill="1" applyBorder="1" applyAlignment="1">
      <alignment horizontal="left" vertical="top" wrapText="1"/>
    </xf>
    <xf numFmtId="0" fontId="21" fillId="35" borderId="0" xfId="0" applyFont="1" applyFill="1" applyBorder="1" applyAlignment="1">
      <alignment horizontal="left" wrapText="1"/>
    </xf>
    <xf numFmtId="176" fontId="23" fillId="37" borderId="42" xfId="0" applyNumberFormat="1" applyFont="1" applyFill="1" applyBorder="1" applyAlignment="1" applyProtection="1">
      <alignment horizontal="center" vertical="center"/>
      <protection/>
    </xf>
    <xf numFmtId="176" fontId="23" fillId="37" borderId="44" xfId="0" applyNumberFormat="1" applyFont="1" applyFill="1" applyBorder="1" applyAlignment="1" applyProtection="1">
      <alignment horizontal="center" vertical="center"/>
      <protection/>
    </xf>
    <xf numFmtId="0" fontId="22" fillId="0" borderId="44" xfId="0" applyNumberFormat="1" applyFont="1" applyFill="1" applyBorder="1" applyAlignment="1">
      <alignment horizontal="right" vertical="center"/>
    </xf>
    <xf numFmtId="4" fontId="22" fillId="0" borderId="42" xfId="0" applyNumberFormat="1" applyFont="1" applyFill="1" applyBorder="1" applyAlignment="1">
      <alignment horizontal="center" vertical="center" wrapText="1"/>
    </xf>
    <xf numFmtId="4" fontId="22" fillId="0" borderId="44" xfId="0" applyNumberFormat="1" applyFont="1" applyFill="1" applyBorder="1" applyAlignment="1">
      <alignment horizontal="center" vertical="center" wrapText="1"/>
    </xf>
    <xf numFmtId="0" fontId="23" fillId="36" borderId="42" xfId="0" applyFont="1" applyFill="1" applyBorder="1" applyAlignment="1" applyProtection="1">
      <alignment horizontal="left" vertical="center" wrapText="1"/>
      <protection locked="0"/>
    </xf>
    <xf numFmtId="0" fontId="23" fillId="36" borderId="44" xfId="0" applyFont="1" applyFill="1" applyBorder="1" applyAlignment="1" applyProtection="1">
      <alignment horizontal="left" vertical="center" wrapText="1"/>
      <protection locked="0"/>
    </xf>
    <xf numFmtId="0" fontId="34" fillId="0" borderId="0" xfId="0" applyFont="1" applyFill="1" applyAlignment="1">
      <alignment horizontal="left" vertical="center"/>
    </xf>
    <xf numFmtId="0" fontId="114" fillId="40" borderId="54" xfId="0" applyFont="1" applyFill="1" applyBorder="1" applyAlignment="1">
      <alignment horizontal="left" vertical="center"/>
    </xf>
    <xf numFmtId="0" fontId="114" fillId="40" borderId="46" xfId="0" applyFont="1" applyFill="1" applyBorder="1" applyAlignment="1">
      <alignment horizontal="left" vertical="center"/>
    </xf>
    <xf numFmtId="4" fontId="22" fillId="0" borderId="37" xfId="0" applyNumberFormat="1" applyFont="1" applyFill="1" applyBorder="1" applyAlignment="1">
      <alignment horizontal="center" vertical="center" wrapText="1"/>
    </xf>
    <xf numFmtId="4" fontId="22" fillId="0" borderId="41" xfId="0" applyNumberFormat="1" applyFont="1" applyFill="1" applyBorder="1" applyAlignment="1">
      <alignment horizontal="center" vertical="center" wrapText="1"/>
    </xf>
    <xf numFmtId="0" fontId="22" fillId="37" borderId="42" xfId="0" applyFont="1" applyFill="1" applyBorder="1" applyAlignment="1">
      <alignment horizontal="center" vertical="center"/>
    </xf>
    <xf numFmtId="0" fontId="22" fillId="37" borderId="43" xfId="0" applyFont="1" applyFill="1" applyBorder="1" applyAlignment="1">
      <alignment horizontal="center" vertical="center"/>
    </xf>
    <xf numFmtId="0" fontId="22" fillId="37" borderId="44" xfId="0" applyFont="1" applyFill="1" applyBorder="1" applyAlignment="1">
      <alignment horizontal="center" vertical="center"/>
    </xf>
    <xf numFmtId="0" fontId="23" fillId="37" borderId="42" xfId="0" applyFont="1" applyFill="1" applyBorder="1" applyAlignment="1">
      <alignment horizontal="left" vertical="center"/>
    </xf>
    <xf numFmtId="0" fontId="23" fillId="37" borderId="43" xfId="0" applyFont="1" applyFill="1" applyBorder="1" applyAlignment="1">
      <alignment horizontal="left" vertical="center"/>
    </xf>
    <xf numFmtId="0" fontId="23" fillId="37" borderId="44" xfId="0" applyFont="1" applyFill="1" applyBorder="1" applyAlignment="1">
      <alignment horizontal="left" vertical="center"/>
    </xf>
    <xf numFmtId="0" fontId="57" fillId="35" borderId="29" xfId="0" applyFont="1" applyFill="1" applyBorder="1" applyAlignment="1">
      <alignment horizontal="left" wrapText="1"/>
    </xf>
    <xf numFmtId="0" fontId="23" fillId="37" borderId="37" xfId="0" applyFont="1" applyFill="1" applyBorder="1" applyAlignment="1">
      <alignment horizontal="center" vertical="center" wrapText="1"/>
    </xf>
    <xf numFmtId="0" fontId="23" fillId="37" borderId="41" xfId="0" applyFont="1" applyFill="1" applyBorder="1" applyAlignment="1">
      <alignment horizontal="center" vertical="center" wrapText="1"/>
    </xf>
    <xf numFmtId="0" fontId="23" fillId="0" borderId="42" xfId="0" applyFont="1" applyFill="1" applyBorder="1" applyAlignment="1" applyProtection="1">
      <alignment vertical="center" wrapText="1"/>
      <protection/>
    </xf>
    <xf numFmtId="0" fontId="23" fillId="0" borderId="44" xfId="0" applyFont="1" applyFill="1" applyBorder="1" applyAlignment="1" applyProtection="1">
      <alignment vertical="center" wrapText="1"/>
      <protection/>
    </xf>
    <xf numFmtId="0" fontId="23" fillId="0" borderId="42" xfId="0" applyFont="1" applyFill="1" applyBorder="1" applyAlignment="1" applyProtection="1">
      <alignment vertical="center"/>
      <protection/>
    </xf>
    <xf numFmtId="0" fontId="23" fillId="0" borderId="44" xfId="0" applyFont="1" applyFill="1" applyBorder="1" applyAlignment="1" applyProtection="1">
      <alignment vertical="center"/>
      <protection/>
    </xf>
    <xf numFmtId="0" fontId="23" fillId="0" borderId="43" xfId="0" applyFont="1" applyBorder="1" applyAlignment="1" applyProtection="1">
      <alignment vertical="center" wrapText="1"/>
      <protection/>
    </xf>
    <xf numFmtId="2" fontId="23" fillId="28" borderId="42" xfId="0" applyNumberFormat="1" applyFont="1" applyFill="1" applyBorder="1" applyAlignment="1" applyProtection="1">
      <alignment horizontal="center" vertical="center" wrapText="1"/>
      <protection/>
    </xf>
    <xf numFmtId="0" fontId="23" fillId="28" borderId="43" xfId="0" applyFont="1" applyFill="1" applyBorder="1" applyAlignment="1" applyProtection="1">
      <alignment horizontal="center" vertical="center" wrapText="1"/>
      <protection/>
    </xf>
    <xf numFmtId="0" fontId="23" fillId="28" borderId="44" xfId="0" applyFont="1" applyFill="1" applyBorder="1" applyAlignment="1" applyProtection="1">
      <alignment horizontal="center" vertical="center" wrapText="1"/>
      <protection/>
    </xf>
    <xf numFmtId="2" fontId="23" fillId="28" borderId="43" xfId="0" applyNumberFormat="1" applyFont="1" applyFill="1" applyBorder="1" applyAlignment="1" applyProtection="1">
      <alignment horizontal="center" vertical="center" wrapText="1"/>
      <protection/>
    </xf>
    <xf numFmtId="0" fontId="62" fillId="0" borderId="0"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Alignment="1">
      <alignment vertical="top"/>
    </xf>
    <xf numFmtId="0" fontId="23" fillId="0" borderId="42" xfId="0" applyNumberFormat="1" applyFont="1" applyFill="1" applyBorder="1" applyAlignment="1">
      <alignment horizontal="left" vertical="top" wrapText="1"/>
    </xf>
    <xf numFmtId="0" fontId="23" fillId="0" borderId="43" xfId="0" applyNumberFormat="1" applyFont="1" applyFill="1" applyBorder="1" applyAlignment="1">
      <alignment horizontal="left" vertical="top" wrapText="1"/>
    </xf>
    <xf numFmtId="0" fontId="23" fillId="0" borderId="44" xfId="0" applyNumberFormat="1" applyFont="1" applyFill="1" applyBorder="1" applyAlignment="1">
      <alignment horizontal="left" vertical="top" wrapText="1"/>
    </xf>
    <xf numFmtId="0" fontId="22" fillId="35" borderId="21" xfId="0" applyFont="1" applyFill="1" applyBorder="1" applyAlignment="1">
      <alignment horizontal="left" vertical="center" wrapText="1"/>
    </xf>
    <xf numFmtId="0" fontId="22" fillId="35" borderId="11" xfId="0" applyFont="1" applyFill="1" applyBorder="1" applyAlignment="1">
      <alignment horizontal="left" vertical="center" wrapText="1"/>
    </xf>
    <xf numFmtId="0" fontId="22" fillId="35" borderId="23" xfId="0" applyFont="1" applyFill="1" applyBorder="1" applyAlignment="1">
      <alignment horizontal="left" wrapText="1"/>
    </xf>
    <xf numFmtId="0" fontId="22" fillId="35" borderId="0" xfId="0" applyFont="1" applyFill="1" applyBorder="1" applyAlignment="1">
      <alignment horizontal="left" wrapText="1"/>
    </xf>
    <xf numFmtId="0" fontId="23" fillId="0" borderId="55"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37" borderId="42" xfId="0" applyFont="1" applyFill="1" applyBorder="1" applyAlignment="1">
      <alignment horizontal="center" vertical="center" wrapText="1"/>
    </xf>
    <xf numFmtId="0" fontId="23" fillId="37" borderId="43" xfId="0" applyFont="1" applyFill="1" applyBorder="1" applyAlignment="1">
      <alignment horizontal="center" vertical="center" wrapText="1"/>
    </xf>
    <xf numFmtId="0" fontId="23" fillId="37" borderId="44" xfId="0" applyFont="1" applyFill="1" applyBorder="1" applyAlignment="1">
      <alignment horizontal="center" vertical="center" wrapText="1"/>
    </xf>
    <xf numFmtId="0" fontId="22" fillId="37" borderId="42" xfId="0" applyFont="1" applyFill="1" applyBorder="1" applyAlignment="1">
      <alignment horizontal="center"/>
    </xf>
    <xf numFmtId="0" fontId="22" fillId="37" borderId="44" xfId="0" applyFont="1" applyFill="1" applyBorder="1" applyAlignment="1">
      <alignment horizontal="center"/>
    </xf>
    <xf numFmtId="0" fontId="23" fillId="0" borderId="0" xfId="0" applyFont="1" applyAlignment="1">
      <alignment horizontal="left" wrapText="1"/>
    </xf>
    <xf numFmtId="0" fontId="22" fillId="37" borderId="20" xfId="0" applyFont="1" applyFill="1" applyBorder="1" applyAlignment="1">
      <alignment horizontal="left" vertical="top"/>
    </xf>
    <xf numFmtId="0" fontId="22" fillId="37" borderId="55" xfId="0" applyFont="1" applyFill="1" applyBorder="1" applyAlignment="1">
      <alignment horizontal="center" wrapText="1"/>
    </xf>
    <xf numFmtId="0" fontId="22" fillId="37" borderId="54" xfId="0" applyFont="1" applyFill="1" applyBorder="1" applyAlignment="1">
      <alignment horizontal="center" wrapText="1"/>
    </xf>
    <xf numFmtId="0" fontId="23" fillId="37" borderId="42" xfId="0" applyFont="1" applyFill="1" applyBorder="1" applyAlignment="1">
      <alignment horizontal="center"/>
    </xf>
    <xf numFmtId="0" fontId="23" fillId="37" borderId="43" xfId="0" applyFont="1" applyFill="1" applyBorder="1" applyAlignment="1">
      <alignment horizontal="center"/>
    </xf>
    <xf numFmtId="0" fontId="23" fillId="37" borderId="44" xfId="0" applyFont="1" applyFill="1" applyBorder="1" applyAlignment="1">
      <alignment horizontal="center"/>
    </xf>
    <xf numFmtId="0" fontId="23" fillId="37" borderId="55" xfId="0" applyFont="1" applyFill="1" applyBorder="1" applyAlignment="1">
      <alignment horizontal="center" vertical="center" wrapText="1"/>
    </xf>
    <xf numFmtId="0" fontId="23" fillId="37" borderId="56" xfId="0" applyFont="1" applyFill="1" applyBorder="1" applyAlignment="1">
      <alignment horizontal="center" vertical="center" wrapText="1"/>
    </xf>
    <xf numFmtId="0" fontId="23" fillId="37" borderId="40" xfId="0" applyFont="1" applyFill="1" applyBorder="1" applyAlignment="1">
      <alignment horizontal="center" vertical="center" wrapText="1"/>
    </xf>
    <xf numFmtId="0" fontId="23" fillId="37" borderId="39" xfId="0"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Followed Hyperlink" xfId="58"/>
    <cellStyle name="Good" xfId="59"/>
    <cellStyle name="Heading 1" xfId="60"/>
    <cellStyle name="Heading 2" xfId="61"/>
    <cellStyle name="Heading 3" xfId="62"/>
    <cellStyle name="Heading 4" xfId="63"/>
    <cellStyle name="Hed Side" xfId="64"/>
    <cellStyle name="Hed Side bold" xfId="65"/>
    <cellStyle name="Hed Side Indent" xfId="66"/>
    <cellStyle name="Hed Side Regular" xfId="67"/>
    <cellStyle name="Hed Side_1-1A-Regular" xfId="68"/>
    <cellStyle name="Hed Top" xfId="69"/>
    <cellStyle name="Hed Top - SECTION" xfId="70"/>
    <cellStyle name="Hed Top_3-new4" xfId="71"/>
    <cellStyle name="Hyperlink" xfId="72"/>
    <cellStyle name="Input" xfId="73"/>
    <cellStyle name="Linked Cell" xfId="74"/>
    <cellStyle name="Milliers [0]_Annex_comb_guideline_version4-2" xfId="75"/>
    <cellStyle name="Milliers_Annex_comb_guideline_version4-2" xfId="76"/>
    <cellStyle name="Monétaire [0]_Annex comb guideline 4-7" xfId="77"/>
    <cellStyle name="Monétaire_Annex_comb_guideline_version4-2" xfId="78"/>
    <cellStyle name="Neutral" xfId="79"/>
    <cellStyle name="Normal 2" xfId="80"/>
    <cellStyle name="Note" xfId="81"/>
    <cellStyle name="Output" xfId="82"/>
    <cellStyle name="Percent" xfId="83"/>
    <cellStyle name="Reference" xfId="84"/>
    <cellStyle name="Row heading" xfId="85"/>
    <cellStyle name="Source Hed" xfId="86"/>
    <cellStyle name="Source Letter" xfId="87"/>
    <cellStyle name="Source Superscript" xfId="88"/>
    <cellStyle name="Source Text" xfId="89"/>
    <cellStyle name="State" xfId="90"/>
    <cellStyle name="Superscript" xfId="91"/>
    <cellStyle name="Superscript- regular" xfId="92"/>
    <cellStyle name="Superscript_1-1A-Regular" xfId="93"/>
    <cellStyle name="Table Data" xfId="94"/>
    <cellStyle name="Table Head Top" xfId="95"/>
    <cellStyle name="Table Hed Side" xfId="96"/>
    <cellStyle name="Table Title" xfId="97"/>
    <cellStyle name="Title" xfId="98"/>
    <cellStyle name="Title Text" xfId="99"/>
    <cellStyle name="Title Text 1" xfId="100"/>
    <cellStyle name="Title Text 2" xfId="101"/>
    <cellStyle name="Title-1" xfId="102"/>
    <cellStyle name="Title-2" xfId="103"/>
    <cellStyle name="Title-3" xfId="104"/>
    <cellStyle name="Total" xfId="105"/>
    <cellStyle name="Warning Text" xfId="106"/>
    <cellStyle name="Wrap" xfId="107"/>
    <cellStyle name="Wrap Bold" xfId="108"/>
    <cellStyle name="Wrap Title" xfId="109"/>
    <cellStyle name="Wrap_NTS99-~11"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9525</xdr:rowOff>
    </xdr:from>
    <xdr:to>
      <xdr:col>2</xdr:col>
      <xdr:colOff>1085850</xdr:colOff>
      <xdr:row>4</xdr:row>
      <xdr:rowOff>257175</xdr:rowOff>
    </xdr:to>
    <xdr:pic>
      <xdr:nvPicPr>
        <xdr:cNvPr id="1" name="Picture 6"/>
        <xdr:cNvPicPr preferRelativeResize="1">
          <a:picLocks noChangeAspect="1"/>
        </xdr:cNvPicPr>
      </xdr:nvPicPr>
      <xdr:blipFill>
        <a:blip r:embed="rId1"/>
        <a:stretch>
          <a:fillRect/>
        </a:stretch>
      </xdr:blipFill>
      <xdr:spPr>
        <a:xfrm>
          <a:off x="476250" y="371475"/>
          <a:ext cx="108585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WRI\WRI%20calculation%20tools%20-%20mob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42"/>
  <sheetViews>
    <sheetView tabSelected="1" zoomScale="115" zoomScaleNormal="115" zoomScalePageLayoutView="0" workbookViewId="0" topLeftCell="A1">
      <selection activeCell="A1" sqref="A1"/>
    </sheetView>
  </sheetViews>
  <sheetFormatPr defaultColWidth="9.00390625" defaultRowHeight="12.75"/>
  <cols>
    <col min="1" max="2" width="3.57421875" style="12" customWidth="1"/>
    <col min="3" max="3" width="17.28125" style="12" customWidth="1"/>
    <col min="4" max="6" width="15.28125" style="12" customWidth="1"/>
    <col min="7" max="7" width="24.57421875" style="12" customWidth="1"/>
    <col min="8" max="9" width="9.00390625" style="12" customWidth="1"/>
    <col min="10" max="10" width="3.57421875" style="12" customWidth="1"/>
    <col min="11" max="16384" width="9.00390625" style="12" customWidth="1"/>
  </cols>
  <sheetData>
    <row r="1" ht="14.25" thickBot="1"/>
    <row r="2" spans="2:10" ht="14.25" thickTop="1">
      <c r="B2" s="13"/>
      <c r="C2" s="14"/>
      <c r="D2" s="14"/>
      <c r="E2" s="14"/>
      <c r="F2" s="14"/>
      <c r="G2" s="14"/>
      <c r="H2" s="14"/>
      <c r="I2" s="14"/>
      <c r="J2" s="15"/>
    </row>
    <row r="3" spans="2:10" s="16" customFormat="1" ht="39.75" customHeight="1">
      <c r="B3" s="738" t="s">
        <v>378</v>
      </c>
      <c r="C3" s="739"/>
      <c r="D3" s="739"/>
      <c r="E3" s="739"/>
      <c r="F3" s="739"/>
      <c r="G3" s="739"/>
      <c r="H3" s="739"/>
      <c r="I3" s="739"/>
      <c r="J3" s="740"/>
    </row>
    <row r="4" spans="2:10" s="16" customFormat="1" ht="23.25">
      <c r="B4" s="750" t="s">
        <v>379</v>
      </c>
      <c r="C4" s="751"/>
      <c r="D4" s="751"/>
      <c r="E4" s="751"/>
      <c r="F4" s="751"/>
      <c r="G4" s="751"/>
      <c r="H4" s="751"/>
      <c r="I4" s="751"/>
      <c r="J4" s="752"/>
    </row>
    <row r="5" spans="2:10" s="16" customFormat="1" ht="21">
      <c r="B5" s="753" t="s">
        <v>380</v>
      </c>
      <c r="C5" s="754"/>
      <c r="D5" s="754"/>
      <c r="E5" s="754"/>
      <c r="F5" s="754"/>
      <c r="G5" s="754"/>
      <c r="H5" s="754"/>
      <c r="I5" s="754"/>
      <c r="J5" s="755"/>
    </row>
    <row r="6" spans="2:10" s="16" customFormat="1" ht="41.25" customHeight="1">
      <c r="B6" s="747" t="s">
        <v>573</v>
      </c>
      <c r="C6" s="748"/>
      <c r="D6" s="748"/>
      <c r="E6" s="748"/>
      <c r="F6" s="748"/>
      <c r="G6" s="748"/>
      <c r="H6" s="748"/>
      <c r="I6" s="748"/>
      <c r="J6" s="749"/>
    </row>
    <row r="7" spans="2:10" s="16" customFormat="1" ht="39.75" customHeight="1">
      <c r="B7" s="17"/>
      <c r="C7" s="756" t="s">
        <v>232</v>
      </c>
      <c r="D7" s="756"/>
      <c r="E7" s="756"/>
      <c r="F7" s="756"/>
      <c r="G7" s="756"/>
      <c r="H7" s="756"/>
      <c r="I7" s="756"/>
      <c r="J7" s="18"/>
    </row>
    <row r="8" spans="2:10" ht="41.25" customHeight="1">
      <c r="B8" s="19"/>
      <c r="C8" s="756" t="s">
        <v>7</v>
      </c>
      <c r="D8" s="757"/>
      <c r="E8" s="757"/>
      <c r="F8" s="757"/>
      <c r="G8" s="757"/>
      <c r="H8" s="744"/>
      <c r="I8" s="744"/>
      <c r="J8" s="20"/>
    </row>
    <row r="9" spans="2:10" ht="15.75" customHeight="1">
      <c r="B9" s="19"/>
      <c r="C9" s="21"/>
      <c r="D9" s="21"/>
      <c r="E9" s="21"/>
      <c r="F9" s="21"/>
      <c r="G9" s="21"/>
      <c r="H9" s="21"/>
      <c r="I9" s="21"/>
      <c r="J9" s="20"/>
    </row>
    <row r="10" spans="2:10" ht="13.5">
      <c r="B10" s="19"/>
      <c r="C10" s="743" t="s">
        <v>370</v>
      </c>
      <c r="D10" s="743"/>
      <c r="E10" s="743"/>
      <c r="F10" s="743"/>
      <c r="G10" s="743"/>
      <c r="H10" s="741"/>
      <c r="I10" s="744"/>
      <c r="J10" s="745"/>
    </row>
    <row r="11" spans="2:10" ht="13.5">
      <c r="B11" s="19"/>
      <c r="C11" s="743"/>
      <c r="D11" s="743"/>
      <c r="E11" s="743"/>
      <c r="F11" s="743"/>
      <c r="G11" s="743"/>
      <c r="H11" s="741"/>
      <c r="I11" s="744"/>
      <c r="J11" s="745"/>
    </row>
    <row r="12" spans="2:10" ht="13.5">
      <c r="B12" s="19"/>
      <c r="C12" s="743"/>
      <c r="D12" s="743"/>
      <c r="E12" s="743"/>
      <c r="F12" s="743"/>
      <c r="G12" s="743"/>
      <c r="H12" s="741"/>
      <c r="I12" s="744"/>
      <c r="J12" s="745"/>
    </row>
    <row r="13" spans="2:10" ht="11.25" customHeight="1">
      <c r="B13" s="19"/>
      <c r="C13" s="746"/>
      <c r="D13" s="742"/>
      <c r="E13" s="742"/>
      <c r="F13" s="742"/>
      <c r="G13" s="742"/>
      <c r="H13" s="742"/>
      <c r="I13" s="21"/>
      <c r="J13" s="20"/>
    </row>
    <row r="14" spans="2:13" s="25" customFormat="1" ht="15">
      <c r="B14" s="22"/>
      <c r="C14" s="741" t="s">
        <v>231</v>
      </c>
      <c r="D14" s="741"/>
      <c r="E14" s="741"/>
      <c r="F14" s="741"/>
      <c r="G14" s="741"/>
      <c r="H14" s="741"/>
      <c r="I14" s="23"/>
      <c r="J14" s="24"/>
      <c r="M14" s="12"/>
    </row>
    <row r="15" spans="2:13" s="25" customFormat="1" ht="21" customHeight="1">
      <c r="B15" s="22"/>
      <c r="C15" s="741"/>
      <c r="D15" s="741"/>
      <c r="E15" s="741"/>
      <c r="F15" s="741"/>
      <c r="G15" s="741"/>
      <c r="H15" s="741"/>
      <c r="I15" s="23"/>
      <c r="J15" s="24"/>
      <c r="M15" s="12"/>
    </row>
    <row r="16" spans="2:13" s="25" customFormat="1" ht="15" customHeight="1">
      <c r="B16" s="22"/>
      <c r="C16" s="26"/>
      <c r="D16" s="23" t="s">
        <v>218</v>
      </c>
      <c r="E16" s="23"/>
      <c r="F16" s="23"/>
      <c r="G16" s="23"/>
      <c r="H16" s="23"/>
      <c r="I16" s="23"/>
      <c r="J16" s="24"/>
      <c r="M16" s="12"/>
    </row>
    <row r="17" spans="2:13" s="25" customFormat="1" ht="15" customHeight="1" thickBot="1">
      <c r="B17" s="22"/>
      <c r="C17" s="23"/>
      <c r="D17" s="23" t="s">
        <v>241</v>
      </c>
      <c r="E17" s="23"/>
      <c r="F17" s="23"/>
      <c r="G17" s="23"/>
      <c r="H17" s="23"/>
      <c r="I17" s="23"/>
      <c r="J17" s="24"/>
      <c r="M17" s="12"/>
    </row>
    <row r="18" spans="2:13" s="25" customFormat="1" ht="15" customHeight="1" thickTop="1">
      <c r="B18" s="22"/>
      <c r="C18" s="23"/>
      <c r="D18" s="23" t="s">
        <v>290</v>
      </c>
      <c r="E18" s="23"/>
      <c r="F18" s="37" t="s">
        <v>24</v>
      </c>
      <c r="G18" s="38"/>
      <c r="H18" s="38"/>
      <c r="I18" s="39"/>
      <c r="J18" s="24"/>
      <c r="M18" s="12"/>
    </row>
    <row r="19" spans="2:13" s="25" customFormat="1" ht="15" customHeight="1">
      <c r="B19" s="22"/>
      <c r="C19" s="23"/>
      <c r="D19" s="23" t="s">
        <v>323</v>
      </c>
      <c r="E19" s="23"/>
      <c r="F19" s="40"/>
      <c r="G19" s="41"/>
      <c r="H19" s="41"/>
      <c r="I19" s="42"/>
      <c r="J19" s="24"/>
      <c r="M19" s="12"/>
    </row>
    <row r="20" spans="2:10" s="25" customFormat="1" ht="15" customHeight="1">
      <c r="B20" s="22"/>
      <c r="C20" s="23"/>
      <c r="D20" s="23" t="s">
        <v>324</v>
      </c>
      <c r="E20" s="23"/>
      <c r="F20" s="40"/>
      <c r="G20" s="34" t="s">
        <v>294</v>
      </c>
      <c r="H20" s="35"/>
      <c r="I20" s="42"/>
      <c r="J20" s="24"/>
    </row>
    <row r="21" spans="2:10" s="25" customFormat="1" ht="18" customHeight="1">
      <c r="B21" s="22"/>
      <c r="C21" s="23"/>
      <c r="D21" s="23" t="s">
        <v>376</v>
      </c>
      <c r="E21" s="23"/>
      <c r="F21" s="40"/>
      <c r="G21" s="34" t="s">
        <v>352</v>
      </c>
      <c r="H21" s="36"/>
      <c r="I21" s="42"/>
      <c r="J21" s="24"/>
    </row>
    <row r="22" spans="2:10" s="25" customFormat="1" ht="15" customHeight="1" thickBot="1">
      <c r="B22" s="22"/>
      <c r="C22" s="23"/>
      <c r="D22" s="23" t="s">
        <v>325</v>
      </c>
      <c r="E22" s="23"/>
      <c r="F22" s="43"/>
      <c r="G22" s="44"/>
      <c r="H22" s="44"/>
      <c r="I22" s="45"/>
      <c r="J22" s="24"/>
    </row>
    <row r="23" spans="2:10" s="25" customFormat="1" ht="15" customHeight="1" thickTop="1">
      <c r="B23" s="22"/>
      <c r="C23" s="23"/>
      <c r="D23" s="23" t="s">
        <v>326</v>
      </c>
      <c r="E23" s="23"/>
      <c r="F23" s="23"/>
      <c r="G23" s="23"/>
      <c r="H23" s="23"/>
      <c r="I23" s="23"/>
      <c r="J23" s="24"/>
    </row>
    <row r="24" spans="2:10" s="25" customFormat="1" ht="17.25" customHeight="1">
      <c r="B24" s="22"/>
      <c r="C24" s="23"/>
      <c r="D24" s="23" t="s">
        <v>326</v>
      </c>
      <c r="E24" s="23"/>
      <c r="F24" s="23"/>
      <c r="G24" s="23"/>
      <c r="H24" s="23"/>
      <c r="I24" s="23"/>
      <c r="J24" s="24"/>
    </row>
    <row r="25" spans="2:10" s="25" customFormat="1" ht="18" customHeight="1">
      <c r="B25" s="22"/>
      <c r="C25" s="23"/>
      <c r="D25" s="23" t="s">
        <v>377</v>
      </c>
      <c r="E25" s="23"/>
      <c r="F25" s="23"/>
      <c r="G25" s="23"/>
      <c r="H25" s="23"/>
      <c r="I25" s="23"/>
      <c r="J25" s="24"/>
    </row>
    <row r="26" spans="2:10" s="25" customFormat="1" ht="17.25" customHeight="1">
      <c r="B26" s="22"/>
      <c r="C26" s="23"/>
      <c r="D26" s="23" t="s">
        <v>229</v>
      </c>
      <c r="E26" s="23"/>
      <c r="F26" s="23"/>
      <c r="G26" s="23"/>
      <c r="H26" s="23"/>
      <c r="I26" s="23"/>
      <c r="J26" s="24"/>
    </row>
    <row r="27" spans="2:10" s="25" customFormat="1" ht="17.25" customHeight="1">
      <c r="B27" s="22"/>
      <c r="C27" s="23"/>
      <c r="D27" s="23"/>
      <c r="E27" s="23"/>
      <c r="F27" s="23"/>
      <c r="G27" s="23"/>
      <c r="H27" s="23"/>
      <c r="I27" s="23"/>
      <c r="J27" s="24"/>
    </row>
    <row r="28" spans="2:10" s="25" customFormat="1" ht="17.25" customHeight="1">
      <c r="B28" s="22"/>
      <c r="C28" s="23" t="s">
        <v>297</v>
      </c>
      <c r="D28" s="23"/>
      <c r="E28" s="23"/>
      <c r="F28" s="737">
        <v>25</v>
      </c>
      <c r="G28" s="23" t="s">
        <v>371</v>
      </c>
      <c r="H28" s="23"/>
      <c r="I28" s="23"/>
      <c r="J28" s="24"/>
    </row>
    <row r="29" spans="2:10" s="25" customFormat="1" ht="17.25" customHeight="1">
      <c r="B29" s="22"/>
      <c r="C29" s="23"/>
      <c r="D29" s="23"/>
      <c r="E29" s="23"/>
      <c r="F29" s="737">
        <v>298</v>
      </c>
      <c r="G29" s="23" t="s">
        <v>371</v>
      </c>
      <c r="H29" s="23"/>
      <c r="I29" s="23"/>
      <c r="J29" s="24"/>
    </row>
    <row r="30" spans="2:10" s="25" customFormat="1" ht="14.25" customHeight="1">
      <c r="B30" s="22"/>
      <c r="C30" s="23"/>
      <c r="D30" s="23"/>
      <c r="E30" s="23"/>
      <c r="F30" s="23"/>
      <c r="G30" s="23"/>
      <c r="H30" s="23"/>
      <c r="I30" s="23"/>
      <c r="J30" s="24"/>
    </row>
    <row r="31" spans="2:14" s="25" customFormat="1" ht="147.75" customHeight="1">
      <c r="B31" s="22"/>
      <c r="C31" s="741" t="s">
        <v>572</v>
      </c>
      <c r="D31" s="742"/>
      <c r="E31" s="742"/>
      <c r="F31" s="742"/>
      <c r="G31" s="742"/>
      <c r="H31" s="742"/>
      <c r="I31" s="742"/>
      <c r="J31" s="24"/>
      <c r="N31" s="27"/>
    </row>
    <row r="32" spans="2:14" s="25" customFormat="1" ht="14.25" customHeight="1">
      <c r="B32" s="22"/>
      <c r="C32" s="23"/>
      <c r="D32" s="23"/>
      <c r="E32" s="23"/>
      <c r="F32" s="23"/>
      <c r="G32" s="23"/>
      <c r="H32" s="23"/>
      <c r="I32" s="23"/>
      <c r="J32" s="24"/>
      <c r="N32" s="27"/>
    </row>
    <row r="33" spans="2:14" s="25" customFormat="1" ht="42.75" customHeight="1">
      <c r="B33" s="22"/>
      <c r="C33" s="756" t="s">
        <v>372</v>
      </c>
      <c r="D33" s="742"/>
      <c r="E33" s="742"/>
      <c r="F33" s="742"/>
      <c r="G33" s="742"/>
      <c r="H33" s="742"/>
      <c r="I33" s="742"/>
      <c r="J33" s="24"/>
      <c r="N33" s="27"/>
    </row>
    <row r="34" spans="2:14" s="25" customFormat="1" ht="14.25" customHeight="1">
      <c r="B34" s="22"/>
      <c r="C34" s="23"/>
      <c r="D34" s="23"/>
      <c r="E34" s="23"/>
      <c r="F34" s="23"/>
      <c r="G34" s="23"/>
      <c r="H34" s="23"/>
      <c r="I34" s="23"/>
      <c r="J34" s="24"/>
      <c r="N34" s="27"/>
    </row>
    <row r="35" spans="2:14" s="25" customFormat="1" ht="53.25" customHeight="1">
      <c r="B35" s="22"/>
      <c r="C35" s="28" t="s">
        <v>21</v>
      </c>
      <c r="D35" s="756" t="s">
        <v>373</v>
      </c>
      <c r="E35" s="742"/>
      <c r="F35" s="742"/>
      <c r="G35" s="742"/>
      <c r="H35" s="742"/>
      <c r="I35" s="742"/>
      <c r="J35" s="24"/>
      <c r="N35" s="27"/>
    </row>
    <row r="36" spans="2:14" s="25" customFormat="1" ht="54.75" customHeight="1">
      <c r="B36" s="22"/>
      <c r="C36" s="28" t="s">
        <v>22</v>
      </c>
      <c r="D36" s="756" t="s">
        <v>374</v>
      </c>
      <c r="E36" s="742"/>
      <c r="F36" s="742"/>
      <c r="G36" s="742"/>
      <c r="H36" s="742"/>
      <c r="I36" s="742"/>
      <c r="J36" s="24"/>
      <c r="N36" s="27"/>
    </row>
    <row r="37" spans="2:14" ht="168.75" customHeight="1">
      <c r="B37" s="19"/>
      <c r="C37" s="28" t="s">
        <v>23</v>
      </c>
      <c r="D37" s="758" t="s">
        <v>375</v>
      </c>
      <c r="E37" s="742"/>
      <c r="F37" s="742"/>
      <c r="G37" s="742"/>
      <c r="H37" s="742"/>
      <c r="I37" s="742"/>
      <c r="J37" s="20"/>
      <c r="N37" s="27"/>
    </row>
    <row r="38" spans="2:14" ht="13.5" customHeight="1" thickBot="1">
      <c r="B38" s="29"/>
      <c r="C38" s="30"/>
      <c r="D38" s="30"/>
      <c r="E38" s="30"/>
      <c r="F38" s="30"/>
      <c r="G38" s="30"/>
      <c r="H38" s="30"/>
      <c r="I38" s="30"/>
      <c r="J38" s="31"/>
      <c r="K38" s="32"/>
      <c r="N38" s="33"/>
    </row>
    <row r="39" spans="3:9" ht="13.5" customHeight="1" thickTop="1">
      <c r="C39" s="32"/>
      <c r="D39" s="32"/>
      <c r="E39" s="32"/>
      <c r="F39" s="32"/>
      <c r="G39" s="32"/>
      <c r="H39" s="32"/>
      <c r="I39" s="32"/>
    </row>
    <row r="40" spans="3:9" ht="13.5" customHeight="1">
      <c r="C40" s="32"/>
      <c r="D40" s="32"/>
      <c r="E40" s="32"/>
      <c r="F40" s="32"/>
      <c r="G40" s="32"/>
      <c r="H40" s="32"/>
      <c r="I40" s="32"/>
    </row>
    <row r="41" spans="3:9" ht="13.5" customHeight="1">
      <c r="C41" s="32"/>
      <c r="D41" s="32"/>
      <c r="E41" s="32"/>
      <c r="F41" s="32"/>
      <c r="G41" s="32"/>
      <c r="H41" s="32"/>
      <c r="I41" s="32"/>
    </row>
    <row r="42" spans="3:9" ht="14.25" customHeight="1">
      <c r="C42" s="32"/>
      <c r="D42" s="32"/>
      <c r="E42" s="32"/>
      <c r="F42" s="32"/>
      <c r="G42" s="32"/>
      <c r="H42" s="32"/>
      <c r="I42" s="32"/>
    </row>
  </sheetData>
  <sheetProtection password="CD08" sheet="1"/>
  <mergeCells count="14">
    <mergeCell ref="C33:I33"/>
    <mergeCell ref="D35:I35"/>
    <mergeCell ref="D36:I36"/>
    <mergeCell ref="D37:I37"/>
    <mergeCell ref="B3:J3"/>
    <mergeCell ref="C31:I31"/>
    <mergeCell ref="C10:J12"/>
    <mergeCell ref="C14:H15"/>
    <mergeCell ref="C13:H13"/>
    <mergeCell ref="B6:J6"/>
    <mergeCell ref="B4:J4"/>
    <mergeCell ref="B5:J5"/>
    <mergeCell ref="C8:I8"/>
    <mergeCell ref="C7:I7"/>
  </mergeCells>
  <printOptions/>
  <pageMargins left="0.75" right="0.75" top="1" bottom="1" header="0.5" footer="0.5"/>
  <pageSetup fitToHeight="1" fitToWidth="1" horizontalDpi="600" verticalDpi="600" orientation="portrait" scale="62" r:id="rId2"/>
  <headerFooter alignWithMargins="0">
    <oddHeader>&amp;L&amp;D&amp;R&amp;F</oddHeader>
  </headerFooter>
  <ignoredErrors>
    <ignoredError sqref="C35:C37"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O29"/>
  <sheetViews>
    <sheetView zoomScale="115" zoomScaleNormal="115" zoomScalePageLayoutView="0" workbookViewId="0" topLeftCell="A1">
      <selection activeCell="A1" sqref="A1"/>
    </sheetView>
  </sheetViews>
  <sheetFormatPr defaultColWidth="9.00390625" defaultRowHeight="12.75"/>
  <cols>
    <col min="1" max="2" width="3.57421875" style="64" customWidth="1"/>
    <col min="3" max="3" width="21.57421875" style="64" bestFit="1" customWidth="1"/>
    <col min="4" max="4" width="28.7109375" style="64" customWidth="1"/>
    <col min="5" max="5" width="22.57421875" style="64" bestFit="1" customWidth="1"/>
    <col min="6" max="6" width="26.7109375" style="64" customWidth="1"/>
    <col min="7" max="7" width="3.57421875" style="64" customWidth="1"/>
    <col min="8" max="8" width="13.00390625" style="64" customWidth="1"/>
    <col min="9" max="12" width="9.140625" style="64" hidden="1" customWidth="1"/>
    <col min="13" max="16384" width="9.00390625" style="64" customWidth="1"/>
  </cols>
  <sheetData>
    <row r="1" spans="2:6" ht="21">
      <c r="B1" s="839" t="s">
        <v>343</v>
      </c>
      <c r="C1" s="839"/>
      <c r="D1" s="839"/>
      <c r="E1" s="839"/>
      <c r="F1" s="839"/>
    </row>
    <row r="2" spans="2:15" ht="18" customHeight="1">
      <c r="B2" s="816" t="s">
        <v>451</v>
      </c>
      <c r="C2" s="816"/>
      <c r="D2" s="816"/>
      <c r="E2" s="816"/>
      <c r="F2" s="816"/>
      <c r="G2" s="376"/>
      <c r="H2" s="376"/>
      <c r="I2" s="376"/>
      <c r="J2" s="376"/>
      <c r="K2" s="376"/>
      <c r="L2" s="376"/>
      <c r="M2" s="376"/>
      <c r="N2" s="376"/>
      <c r="O2" s="376"/>
    </row>
    <row r="3" spans="3:15" ht="18" thickBot="1">
      <c r="C3" s="319"/>
      <c r="D3" s="319"/>
      <c r="E3" s="319"/>
      <c r="F3" s="319"/>
      <c r="G3" s="319"/>
      <c r="H3" s="319"/>
      <c r="I3" s="319"/>
      <c r="J3" s="319"/>
      <c r="K3" s="319"/>
      <c r="L3" s="319"/>
      <c r="M3" s="319"/>
      <c r="N3" s="319"/>
      <c r="O3" s="319"/>
    </row>
    <row r="4" spans="2:15" ht="18" thickTop="1">
      <c r="B4" s="160" t="s">
        <v>24</v>
      </c>
      <c r="C4" s="321"/>
      <c r="D4" s="321"/>
      <c r="E4" s="322"/>
      <c r="F4" s="319"/>
      <c r="G4" s="319"/>
      <c r="H4" s="319"/>
      <c r="I4" s="319"/>
      <c r="J4" s="319"/>
      <c r="K4" s="319"/>
      <c r="L4" s="319"/>
      <c r="M4" s="319"/>
      <c r="N4" s="319"/>
      <c r="O4" s="319"/>
    </row>
    <row r="5" spans="2:15" ht="18">
      <c r="B5" s="784" t="s">
        <v>322</v>
      </c>
      <c r="C5" s="785"/>
      <c r="D5" s="323"/>
      <c r="E5" s="324"/>
      <c r="F5" s="319"/>
      <c r="G5" s="319"/>
      <c r="H5" s="319"/>
      <c r="I5" s="319"/>
      <c r="J5" s="319"/>
      <c r="K5" s="319"/>
      <c r="L5" s="319"/>
      <c r="M5" s="319"/>
      <c r="N5" s="319"/>
      <c r="O5" s="319"/>
    </row>
    <row r="6" spans="2:15" ht="18">
      <c r="B6" s="784" t="s">
        <v>37</v>
      </c>
      <c r="C6" s="785"/>
      <c r="D6" s="416"/>
      <c r="E6" s="325"/>
      <c r="F6" s="319"/>
      <c r="G6" s="319"/>
      <c r="H6" s="319"/>
      <c r="I6" s="319"/>
      <c r="J6" s="319"/>
      <c r="K6" s="319"/>
      <c r="L6" s="319"/>
      <c r="M6" s="319"/>
      <c r="N6" s="319"/>
      <c r="O6" s="319"/>
    </row>
    <row r="7" spans="2:15" ht="18" thickBot="1">
      <c r="B7" s="164"/>
      <c r="C7" s="165"/>
      <c r="D7" s="165"/>
      <c r="E7" s="326"/>
      <c r="F7" s="319"/>
      <c r="G7" s="319"/>
      <c r="H7" s="319"/>
      <c r="I7" s="319"/>
      <c r="J7" s="319"/>
      <c r="K7" s="319"/>
      <c r="L7" s="319"/>
      <c r="M7" s="319"/>
      <c r="N7" s="319"/>
      <c r="O7" s="319"/>
    </row>
    <row r="8" ht="15" thickBot="1" thickTop="1"/>
    <row r="9" spans="2:7" ht="18" thickTop="1">
      <c r="B9" s="350" t="s">
        <v>452</v>
      </c>
      <c r="C9" s="351"/>
      <c r="D9" s="351"/>
      <c r="E9" s="351"/>
      <c r="F9" s="351"/>
      <c r="G9" s="352"/>
    </row>
    <row r="10" spans="2:7" ht="13.5">
      <c r="B10" s="353"/>
      <c r="C10" s="354"/>
      <c r="D10" s="354"/>
      <c r="E10" s="354"/>
      <c r="F10" s="354"/>
      <c r="G10" s="355"/>
    </row>
    <row r="11" spans="2:7" s="92" customFormat="1" ht="47.25" customHeight="1">
      <c r="B11" s="356"/>
      <c r="C11" s="346" t="s">
        <v>34</v>
      </c>
      <c r="D11" s="347" t="s">
        <v>35</v>
      </c>
      <c r="E11" s="347" t="s">
        <v>455</v>
      </c>
      <c r="F11" s="347" t="s">
        <v>456</v>
      </c>
      <c r="G11" s="360"/>
    </row>
    <row r="12" spans="2:7" ht="18">
      <c r="B12" s="357"/>
      <c r="C12" s="334" t="s">
        <v>36</v>
      </c>
      <c r="D12" s="349"/>
      <c r="E12" s="348">
        <v>0.41492</v>
      </c>
      <c r="F12" s="719">
        <f>D12*1000*E12/1000</f>
        <v>0</v>
      </c>
      <c r="G12" s="359"/>
    </row>
    <row r="13" spans="2:7" ht="18">
      <c r="B13" s="357"/>
      <c r="C13" s="334" t="s">
        <v>130</v>
      </c>
      <c r="D13" s="349"/>
      <c r="E13" s="348">
        <v>0.43971</v>
      </c>
      <c r="F13" s="719">
        <f>D13*1000*E13/1000</f>
        <v>0</v>
      </c>
      <c r="G13" s="359"/>
    </row>
    <row r="14" spans="2:7" ht="18">
      <c r="B14" s="357"/>
      <c r="C14" s="840" t="s">
        <v>557</v>
      </c>
      <c r="D14" s="840"/>
      <c r="E14" s="840"/>
      <c r="F14" s="719">
        <f>F12+F13</f>
        <v>0</v>
      </c>
      <c r="G14" s="359"/>
    </row>
    <row r="15" spans="2:7" ht="14.25" customHeight="1">
      <c r="B15" s="357"/>
      <c r="C15" s="358"/>
      <c r="D15" s="358"/>
      <c r="E15" s="358"/>
      <c r="F15" s="358"/>
      <c r="G15" s="359"/>
    </row>
    <row r="16" spans="2:7" ht="96.75" customHeight="1" thickBot="1">
      <c r="B16" s="836" t="s">
        <v>449</v>
      </c>
      <c r="C16" s="837"/>
      <c r="D16" s="837"/>
      <c r="E16" s="837"/>
      <c r="F16" s="837"/>
      <c r="G16" s="838"/>
    </row>
    <row r="17" ht="15" thickBot="1" thickTop="1">
      <c r="A17" s="331"/>
    </row>
    <row r="18" spans="2:7" ht="18" thickTop="1">
      <c r="B18" s="361" t="s">
        <v>453</v>
      </c>
      <c r="C18" s="351"/>
      <c r="D18" s="351"/>
      <c r="E18" s="351"/>
      <c r="F18" s="351"/>
      <c r="G18" s="352"/>
    </row>
    <row r="19" spans="2:7" ht="15">
      <c r="B19" s="362"/>
      <c r="C19" s="363"/>
      <c r="D19" s="363"/>
      <c r="E19" s="363"/>
      <c r="F19" s="363"/>
      <c r="G19" s="364"/>
    </row>
    <row r="20" spans="2:7" s="92" customFormat="1" ht="47.25" customHeight="1">
      <c r="B20" s="365"/>
      <c r="C20" s="346" t="s">
        <v>34</v>
      </c>
      <c r="D20" s="347" t="s">
        <v>49</v>
      </c>
      <c r="E20" s="347" t="s">
        <v>455</v>
      </c>
      <c r="F20" s="347" t="s">
        <v>456</v>
      </c>
      <c r="G20" s="366"/>
    </row>
    <row r="21" spans="2:7" ht="15">
      <c r="B21" s="362"/>
      <c r="C21" s="334" t="s">
        <v>50</v>
      </c>
      <c r="D21" s="349"/>
      <c r="E21" s="348">
        <f>E13</f>
        <v>0.43971</v>
      </c>
      <c r="F21" s="431">
        <f>D21*1000*E21/1000</f>
        <v>0</v>
      </c>
      <c r="G21" s="364"/>
    </row>
    <row r="22" spans="2:7" ht="15">
      <c r="B22" s="362"/>
      <c r="C22" s="334" t="s">
        <v>51</v>
      </c>
      <c r="D22" s="349"/>
      <c r="E22" s="348">
        <v>0.47732</v>
      </c>
      <c r="F22" s="431">
        <f>D22*E22</f>
        <v>0</v>
      </c>
      <c r="G22" s="364"/>
    </row>
    <row r="23" spans="2:7" ht="18">
      <c r="B23" s="362"/>
      <c r="C23" s="840" t="s">
        <v>454</v>
      </c>
      <c r="D23" s="840"/>
      <c r="E23" s="840"/>
      <c r="F23" s="431">
        <f>F22+F21</f>
        <v>0</v>
      </c>
      <c r="G23" s="364"/>
    </row>
    <row r="24" spans="2:7" ht="14.25" customHeight="1">
      <c r="B24" s="362"/>
      <c r="C24" s="363"/>
      <c r="D24" s="363"/>
      <c r="E24" s="363"/>
      <c r="F24" s="363"/>
      <c r="G24" s="364"/>
    </row>
    <row r="25" spans="2:7" ht="74.25" customHeight="1" thickBot="1">
      <c r="B25" s="836" t="s">
        <v>450</v>
      </c>
      <c r="C25" s="837"/>
      <c r="D25" s="837"/>
      <c r="E25" s="837"/>
      <c r="F25" s="837"/>
      <c r="G25" s="838"/>
    </row>
    <row r="26" ht="15" thickTop="1">
      <c r="A26" s="331"/>
    </row>
    <row r="29" spans="2:13" s="65" customFormat="1" ht="10.5" customHeight="1">
      <c r="B29" s="834"/>
      <c r="C29" s="835"/>
      <c r="D29" s="835"/>
      <c r="E29" s="835"/>
      <c r="F29" s="835"/>
      <c r="G29" s="835"/>
      <c r="H29" s="835"/>
      <c r="I29" s="835"/>
      <c r="J29" s="835"/>
      <c r="K29" s="835"/>
      <c r="L29" s="835"/>
      <c r="M29" s="835"/>
    </row>
  </sheetData>
  <sheetProtection password="CD08" sheet="1"/>
  <mergeCells count="9">
    <mergeCell ref="B29:M29"/>
    <mergeCell ref="B16:G16"/>
    <mergeCell ref="B25:G25"/>
    <mergeCell ref="B1:F1"/>
    <mergeCell ref="B5:C5"/>
    <mergeCell ref="B6:C6"/>
    <mergeCell ref="C14:E14"/>
    <mergeCell ref="C23:E23"/>
    <mergeCell ref="B2:F2"/>
  </mergeCells>
  <printOptions horizontalCentered="1"/>
  <pageMargins left="0.75" right="0.75" top="1" bottom="1" header="0.5" footer="0.5"/>
  <pageSetup fitToHeight="1" fitToWidth="1" horizontalDpi="600" verticalDpi="600" orientation="portrait" scale="77" r:id="rId1"/>
  <headerFooter alignWithMargins="0">
    <oddHeader>&amp;L&amp;D&amp;R&amp;F</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BF299"/>
  <sheetViews>
    <sheetView zoomScale="75" zoomScaleNormal="75" zoomScalePageLayoutView="0" workbookViewId="0" topLeftCell="A1">
      <selection activeCell="A1" sqref="A1"/>
    </sheetView>
  </sheetViews>
  <sheetFormatPr defaultColWidth="9.7109375" defaultRowHeight="12.75"/>
  <cols>
    <col min="1" max="2" width="3.57421875" style="434" customWidth="1"/>
    <col min="3" max="3" width="31.57421875" style="434" customWidth="1"/>
    <col min="4" max="4" width="25.00390625" style="434" customWidth="1"/>
    <col min="5" max="5" width="20.421875" style="436" customWidth="1"/>
    <col min="6" max="6" width="24.00390625" style="436" customWidth="1"/>
    <col min="7" max="7" width="19.421875" style="436" customWidth="1"/>
    <col min="8" max="8" width="16.421875" style="434" customWidth="1"/>
    <col min="9" max="9" width="15.57421875" style="434" customWidth="1"/>
    <col min="10" max="10" width="18.7109375" style="434" customWidth="1"/>
    <col min="11" max="11" width="17.140625" style="434" customWidth="1"/>
    <col min="12" max="12" width="16.140625" style="434" customWidth="1"/>
    <col min="13" max="13" width="15.57421875" style="434" customWidth="1"/>
    <col min="14" max="15" width="16.421875" style="434" customWidth="1"/>
    <col min="16" max="16" width="15.00390625" style="434" customWidth="1"/>
    <col min="17" max="17" width="16.00390625" style="434" customWidth="1"/>
    <col min="18" max="18" width="19.140625" style="434" customWidth="1"/>
    <col min="19" max="19" width="17.57421875" style="434" customWidth="1"/>
    <col min="20" max="20" width="15.8515625" style="434" customWidth="1"/>
    <col min="21" max="21" width="16.8515625" style="434" customWidth="1"/>
    <col min="22" max="22" width="16.28125" style="434" customWidth="1"/>
    <col min="23" max="57" width="14.28125" style="434" customWidth="1"/>
    <col min="58" max="16384" width="9.7109375" style="434" customWidth="1"/>
  </cols>
  <sheetData>
    <row r="1" spans="2:4" ht="21">
      <c r="B1" s="453" t="s">
        <v>344</v>
      </c>
      <c r="D1" s="435"/>
    </row>
    <row r="2" spans="2:4" ht="24" customHeight="1">
      <c r="B2" s="455" t="s">
        <v>488</v>
      </c>
      <c r="D2" s="435"/>
    </row>
    <row r="3" ht="18" customHeight="1" thickBot="1">
      <c r="A3" s="435"/>
    </row>
    <row r="4" spans="1:5" ht="18" customHeight="1" thickTop="1">
      <c r="A4" s="435"/>
      <c r="B4" s="149" t="s">
        <v>24</v>
      </c>
      <c r="C4" s="437"/>
      <c r="D4" s="438"/>
      <c r="E4" s="439"/>
    </row>
    <row r="5" spans="1:5" ht="18" customHeight="1">
      <c r="A5" s="435"/>
      <c r="B5" s="857" t="s">
        <v>294</v>
      </c>
      <c r="C5" s="858"/>
      <c r="D5" s="456"/>
      <c r="E5" s="440"/>
    </row>
    <row r="6" spans="1:5" ht="18" customHeight="1">
      <c r="A6" s="435"/>
      <c r="B6" s="857" t="s">
        <v>352</v>
      </c>
      <c r="C6" s="858"/>
      <c r="D6" s="457"/>
      <c r="E6" s="440"/>
    </row>
    <row r="7" spans="2:19" ht="18" customHeight="1" thickBot="1">
      <c r="B7" s="441"/>
      <c r="C7" s="442"/>
      <c r="D7" s="442"/>
      <c r="E7" s="443"/>
      <c r="F7" s="444"/>
      <c r="G7" s="445"/>
      <c r="H7" s="446"/>
      <c r="I7" s="446"/>
      <c r="J7" s="446"/>
      <c r="K7" s="446"/>
      <c r="L7" s="446"/>
      <c r="M7" s="446"/>
      <c r="N7" s="446"/>
      <c r="O7" s="446"/>
      <c r="P7" s="446"/>
      <c r="Q7" s="446"/>
      <c r="R7" s="446"/>
      <c r="S7" s="446"/>
    </row>
    <row r="8" spans="2:19" ht="27" customHeight="1" thickBot="1" thickTop="1">
      <c r="B8" s="447"/>
      <c r="C8" s="448"/>
      <c r="D8" s="447"/>
      <c r="E8" s="449"/>
      <c r="F8" s="444"/>
      <c r="G8" s="445"/>
      <c r="H8" s="446"/>
      <c r="I8" s="446"/>
      <c r="J8" s="446"/>
      <c r="K8" s="446"/>
      <c r="L8" s="446"/>
      <c r="M8" s="446"/>
      <c r="N8" s="446"/>
      <c r="O8" s="446"/>
      <c r="P8" s="446"/>
      <c r="Q8" s="446"/>
      <c r="R8" s="446"/>
      <c r="S8" s="446"/>
    </row>
    <row r="9" spans="2:19" s="459" customFormat="1" ht="18" thickTop="1">
      <c r="B9" s="476" t="s">
        <v>489</v>
      </c>
      <c r="C9" s="477"/>
      <c r="D9" s="477"/>
      <c r="E9" s="477"/>
      <c r="F9" s="477"/>
      <c r="G9" s="477"/>
      <c r="H9" s="477"/>
      <c r="I9" s="477"/>
      <c r="J9" s="477"/>
      <c r="K9" s="477"/>
      <c r="L9" s="477"/>
      <c r="M9" s="477"/>
      <c r="N9" s="477"/>
      <c r="O9" s="478"/>
      <c r="P9" s="460"/>
      <c r="Q9" s="461"/>
      <c r="R9" s="461"/>
      <c r="S9" s="461"/>
    </row>
    <row r="10" spans="2:20" s="454" customFormat="1" ht="18" customHeight="1">
      <c r="B10" s="357"/>
      <c r="C10" s="862" t="s">
        <v>493</v>
      </c>
      <c r="D10" s="863"/>
      <c r="E10" s="863"/>
      <c r="F10" s="863"/>
      <c r="G10" s="863"/>
      <c r="H10" s="358"/>
      <c r="I10" s="358"/>
      <c r="J10" s="358"/>
      <c r="K10" s="358"/>
      <c r="L10" s="358"/>
      <c r="M10" s="358"/>
      <c r="N10" s="358"/>
      <c r="O10" s="359"/>
      <c r="P10" s="458"/>
      <c r="Q10" s="458"/>
      <c r="R10" s="458"/>
      <c r="S10" s="458"/>
      <c r="T10" s="458"/>
    </row>
    <row r="11" spans="2:20" ht="18" customHeight="1">
      <c r="B11" s="362"/>
      <c r="C11" s="479"/>
      <c r="D11" s="480"/>
      <c r="E11" s="859" t="s">
        <v>92</v>
      </c>
      <c r="F11" s="855"/>
      <c r="G11" s="855"/>
      <c r="H11" s="855"/>
      <c r="I11" s="855"/>
      <c r="J11" s="855"/>
      <c r="K11" s="855"/>
      <c r="L11" s="855"/>
      <c r="M11" s="855"/>
      <c r="N11" s="856"/>
      <c r="O11" s="364"/>
      <c r="P11" s="446"/>
      <c r="Q11" s="446"/>
      <c r="R11" s="446"/>
      <c r="S11" s="446"/>
      <c r="T11" s="446"/>
    </row>
    <row r="12" spans="2:20" ht="18" customHeight="1">
      <c r="B12" s="362"/>
      <c r="C12" s="729">
        <v>0.72</v>
      </c>
      <c r="D12" s="725" t="s">
        <v>561</v>
      </c>
      <c r="E12" s="462" t="s">
        <v>52</v>
      </c>
      <c r="F12" s="462" t="s">
        <v>53</v>
      </c>
      <c r="G12" s="463" t="s">
        <v>39</v>
      </c>
      <c r="H12" s="463" t="s">
        <v>43</v>
      </c>
      <c r="I12" s="464" t="s">
        <v>40</v>
      </c>
      <c r="J12" s="464" t="s">
        <v>41</v>
      </c>
      <c r="K12" s="463" t="s">
        <v>42</v>
      </c>
      <c r="L12" s="168" t="s">
        <v>47</v>
      </c>
      <c r="M12" s="168" t="s">
        <v>54</v>
      </c>
      <c r="N12" s="168" t="s">
        <v>55</v>
      </c>
      <c r="O12" s="488"/>
      <c r="P12" s="446"/>
      <c r="Q12" s="446"/>
      <c r="R12" s="446"/>
      <c r="S12" s="446"/>
      <c r="T12" s="446"/>
    </row>
    <row r="13" spans="2:20" ht="78">
      <c r="B13" s="481"/>
      <c r="C13" s="79"/>
      <c r="D13" s="482"/>
      <c r="E13" s="844" t="s">
        <v>48</v>
      </c>
      <c r="F13" s="846" t="s">
        <v>189</v>
      </c>
      <c r="G13" s="848" t="s">
        <v>190</v>
      </c>
      <c r="H13" s="848" t="s">
        <v>192</v>
      </c>
      <c r="I13" s="848" t="s">
        <v>191</v>
      </c>
      <c r="J13" s="848" t="s">
        <v>200</v>
      </c>
      <c r="K13" s="465" t="s">
        <v>201</v>
      </c>
      <c r="L13" s="467" t="s">
        <v>193</v>
      </c>
      <c r="M13" s="168" t="s">
        <v>490</v>
      </c>
      <c r="N13" s="168" t="s">
        <v>491</v>
      </c>
      <c r="O13" s="489"/>
      <c r="P13" s="446"/>
      <c r="Q13" s="446"/>
      <c r="R13" s="446"/>
      <c r="S13" s="446"/>
      <c r="T13" s="446"/>
    </row>
    <row r="14" spans="2:20" ht="44.25" customHeight="1">
      <c r="B14" s="362"/>
      <c r="C14" s="363"/>
      <c r="D14" s="480"/>
      <c r="E14" s="845"/>
      <c r="F14" s="847"/>
      <c r="G14" s="849"/>
      <c r="H14" s="849"/>
      <c r="I14" s="849"/>
      <c r="J14" s="849"/>
      <c r="K14" s="467" t="s">
        <v>202</v>
      </c>
      <c r="L14" s="468" t="s">
        <v>574</v>
      </c>
      <c r="M14" s="468" t="s">
        <v>2</v>
      </c>
      <c r="N14" s="468" t="s">
        <v>3</v>
      </c>
      <c r="O14" s="489"/>
      <c r="P14" s="446"/>
      <c r="Q14" s="446"/>
      <c r="R14" s="446"/>
      <c r="S14" s="446"/>
      <c r="T14" s="446"/>
    </row>
    <row r="15" spans="2:20" ht="18" customHeight="1">
      <c r="B15" s="362"/>
      <c r="C15" s="363" t="s">
        <v>187</v>
      </c>
      <c r="D15" s="483" t="s">
        <v>188</v>
      </c>
      <c r="E15" s="484">
        <v>0.5</v>
      </c>
      <c r="F15" s="485">
        <v>820000</v>
      </c>
      <c r="G15" s="485">
        <v>0.75</v>
      </c>
      <c r="H15" s="485">
        <v>0.9</v>
      </c>
      <c r="I15" s="486">
        <v>0.47</v>
      </c>
      <c r="J15" s="486">
        <v>0.1</v>
      </c>
      <c r="K15" s="485">
        <f>((F15/G15)*(1-G15)*I15*(1-J15))+(F15*I15*(1-H15))</f>
        <v>154160</v>
      </c>
      <c r="L15" s="487">
        <f>K15*$C$12/1000</f>
        <v>110.9952</v>
      </c>
      <c r="M15" s="486">
        <f>E15*L15</f>
        <v>55.4976</v>
      </c>
      <c r="N15" s="486">
        <f>(1-E15)*L15</f>
        <v>55.4976</v>
      </c>
      <c r="O15" s="490"/>
      <c r="P15" s="446"/>
      <c r="Q15" s="446"/>
      <c r="R15" s="446"/>
      <c r="S15" s="446"/>
      <c r="T15" s="446"/>
    </row>
    <row r="16" spans="2:20" ht="18" customHeight="1">
      <c r="B16" s="499"/>
      <c r="C16" s="469" t="s">
        <v>186</v>
      </c>
      <c r="D16" s="470" t="s">
        <v>185</v>
      </c>
      <c r="E16" s="471"/>
      <c r="F16" s="472"/>
      <c r="G16" s="473"/>
      <c r="H16" s="474"/>
      <c r="I16" s="475"/>
      <c r="J16" s="475"/>
      <c r="K16" s="474"/>
      <c r="L16" s="472"/>
      <c r="M16" s="475"/>
      <c r="N16" s="472"/>
      <c r="O16" s="491"/>
      <c r="P16" s="446"/>
      <c r="Q16" s="446"/>
      <c r="R16" s="446"/>
      <c r="S16" s="446"/>
      <c r="T16" s="446"/>
    </row>
    <row r="17" spans="2:20" ht="18" customHeight="1">
      <c r="B17" s="362"/>
      <c r="C17" s="497"/>
      <c r="D17" s="179"/>
      <c r="E17" s="400"/>
      <c r="F17" s="179"/>
      <c r="G17" s="401"/>
      <c r="H17" s="401"/>
      <c r="I17" s="401"/>
      <c r="J17" s="401"/>
      <c r="K17" s="418">
        <f>IF(G17=0,0,((F17/G17)*(1-G17)*I17*(1-J17))+(F17*I17*(1-H17)))</f>
        <v>0</v>
      </c>
      <c r="L17" s="433">
        <f>K17*$C$12/1000</f>
        <v>0</v>
      </c>
      <c r="M17" s="418">
        <f>E17*L17</f>
        <v>0</v>
      </c>
      <c r="N17" s="418">
        <f>(1-E17)*L17</f>
        <v>0</v>
      </c>
      <c r="O17" s="492"/>
      <c r="P17" s="446"/>
      <c r="Q17" s="446"/>
      <c r="R17" s="446"/>
      <c r="S17" s="446"/>
      <c r="T17" s="446"/>
    </row>
    <row r="18" spans="2:20" ht="18" customHeight="1">
      <c r="B18" s="362"/>
      <c r="C18" s="497"/>
      <c r="D18" s="179"/>
      <c r="E18" s="400"/>
      <c r="F18" s="179"/>
      <c r="G18" s="401"/>
      <c r="H18" s="401"/>
      <c r="I18" s="401"/>
      <c r="J18" s="401"/>
      <c r="K18" s="418">
        <f>IF(G18=0,0,((F18/G18)*(1-G18)*I18*(1-J18))+(F18*I18*(1-H18)))</f>
        <v>0</v>
      </c>
      <c r="L18" s="433">
        <f>K18*$C$12/1000</f>
        <v>0</v>
      </c>
      <c r="M18" s="418">
        <f>E18*L18</f>
        <v>0</v>
      </c>
      <c r="N18" s="418">
        <f>(1-E18)*L18</f>
        <v>0</v>
      </c>
      <c r="O18" s="492"/>
      <c r="P18" s="446"/>
      <c r="Q18" s="446"/>
      <c r="R18" s="446"/>
      <c r="S18" s="446"/>
      <c r="T18" s="446"/>
    </row>
    <row r="19" spans="2:22" ht="18" customHeight="1">
      <c r="B19" s="362"/>
      <c r="C19" s="497"/>
      <c r="D19" s="179"/>
      <c r="E19" s="400"/>
      <c r="F19" s="179"/>
      <c r="G19" s="401"/>
      <c r="H19" s="401"/>
      <c r="I19" s="401"/>
      <c r="J19" s="401"/>
      <c r="K19" s="418">
        <f>IF(G19=0,0,((F19/G19)*(1-G19)*I19*(1-J19))+(F19*I19*(1-H19)))</f>
        <v>0</v>
      </c>
      <c r="L19" s="433">
        <f>K19*$C$12/1000</f>
        <v>0</v>
      </c>
      <c r="M19" s="418">
        <f>E19*L19</f>
        <v>0</v>
      </c>
      <c r="N19" s="418">
        <f>(1-E19)*L19</f>
        <v>0</v>
      </c>
      <c r="O19" s="492"/>
      <c r="P19" s="446"/>
      <c r="Q19" s="446"/>
      <c r="R19" s="446"/>
      <c r="S19" s="446"/>
      <c r="T19" s="446"/>
      <c r="U19" s="446"/>
      <c r="V19" s="446"/>
    </row>
    <row r="20" spans="2:22" ht="18" customHeight="1">
      <c r="B20" s="362"/>
      <c r="C20" s="497"/>
      <c r="D20" s="179"/>
      <c r="E20" s="400"/>
      <c r="F20" s="179"/>
      <c r="G20" s="401"/>
      <c r="H20" s="401"/>
      <c r="I20" s="401"/>
      <c r="J20" s="401"/>
      <c r="K20" s="418">
        <f>IF(G20=0,0,((F20/G20)*(1-G20)*I20*(1-J20))+(F20*I20*(1-H20)))</f>
        <v>0</v>
      </c>
      <c r="L20" s="433">
        <f>K20*$C$12/1000</f>
        <v>0</v>
      </c>
      <c r="M20" s="418">
        <f>E20*L20</f>
        <v>0</v>
      </c>
      <c r="N20" s="418">
        <f>(1-E20)*L20</f>
        <v>0</v>
      </c>
      <c r="O20" s="492"/>
      <c r="P20" s="446"/>
      <c r="Q20" s="446"/>
      <c r="R20" s="446"/>
      <c r="S20" s="446"/>
      <c r="T20" s="446"/>
      <c r="U20" s="446"/>
      <c r="V20" s="446"/>
    </row>
    <row r="21" spans="2:15" ht="18" customHeight="1">
      <c r="B21" s="362"/>
      <c r="C21" s="497"/>
      <c r="D21" s="179"/>
      <c r="E21" s="400"/>
      <c r="F21" s="179"/>
      <c r="G21" s="401"/>
      <c r="H21" s="401"/>
      <c r="I21" s="401"/>
      <c r="J21" s="401"/>
      <c r="K21" s="418">
        <f>IF(G21=0,0,((F21/G21)*(1-G21)*I21*(1-J21))+(F21*I21*(1-H21)))</f>
        <v>0</v>
      </c>
      <c r="L21" s="433">
        <f>K21*$C$12/1000</f>
        <v>0</v>
      </c>
      <c r="M21" s="418">
        <f>E21*L21</f>
        <v>0</v>
      </c>
      <c r="N21" s="418">
        <f>(1-E21)*L21</f>
        <v>0</v>
      </c>
      <c r="O21" s="492"/>
    </row>
    <row r="22" spans="2:15" ht="18" customHeight="1">
      <c r="B22" s="362"/>
      <c r="C22" s="363"/>
      <c r="D22" s="480"/>
      <c r="E22" s="480"/>
      <c r="F22" s="480"/>
      <c r="G22" s="480"/>
      <c r="H22" s="480"/>
      <c r="I22" s="363"/>
      <c r="J22" s="363"/>
      <c r="K22" s="479"/>
      <c r="L22" s="479"/>
      <c r="M22" s="479"/>
      <c r="N22" s="479"/>
      <c r="O22" s="493"/>
    </row>
    <row r="23" spans="2:15" ht="18" customHeight="1" thickBot="1">
      <c r="B23" s="500"/>
      <c r="C23" s="501"/>
      <c r="D23" s="502"/>
      <c r="E23" s="502"/>
      <c r="F23" s="502"/>
      <c r="G23" s="502"/>
      <c r="H23" s="502"/>
      <c r="I23" s="841" t="s">
        <v>29</v>
      </c>
      <c r="J23" s="842"/>
      <c r="K23" s="842"/>
      <c r="L23" s="843"/>
      <c r="M23" s="498">
        <f>SUM(M17:M21)</f>
        <v>0</v>
      </c>
      <c r="N23" s="498">
        <f>SUM(N17:N21)</f>
        <v>0</v>
      </c>
      <c r="O23" s="494" t="s">
        <v>427</v>
      </c>
    </row>
    <row r="24" spans="2:19" s="454" customFormat="1" ht="20.25" customHeight="1" thickTop="1">
      <c r="B24" s="361" t="s">
        <v>198</v>
      </c>
      <c r="C24" s="510"/>
      <c r="D24" s="511"/>
      <c r="E24" s="511"/>
      <c r="F24" s="511"/>
      <c r="G24" s="512"/>
      <c r="H24" s="512"/>
      <c r="I24" s="512"/>
      <c r="J24" s="512"/>
      <c r="K24" s="512"/>
      <c r="L24" s="512"/>
      <c r="M24" s="512"/>
      <c r="N24" s="358"/>
      <c r="O24" s="512"/>
      <c r="P24" s="512"/>
      <c r="Q24" s="512"/>
      <c r="R24" s="512"/>
      <c r="S24" s="513"/>
    </row>
    <row r="25" spans="2:19" s="454" customFormat="1" ht="18" customHeight="1">
      <c r="B25" s="357"/>
      <c r="C25" s="865" t="s">
        <v>492</v>
      </c>
      <c r="D25" s="865"/>
      <c r="E25" s="865"/>
      <c r="F25" s="865"/>
      <c r="G25" s="865"/>
      <c r="H25" s="865"/>
      <c r="I25" s="865"/>
      <c r="J25" s="865"/>
      <c r="K25" s="865"/>
      <c r="L25" s="865"/>
      <c r="M25" s="865"/>
      <c r="N25" s="865"/>
      <c r="O25" s="865"/>
      <c r="P25" s="865"/>
      <c r="Q25" s="865"/>
      <c r="R25" s="865"/>
      <c r="S25" s="359"/>
    </row>
    <row r="26" spans="2:19" s="503" customFormat="1" ht="18" customHeight="1">
      <c r="B26" s="362"/>
      <c r="C26" s="479"/>
      <c r="D26" s="480"/>
      <c r="E26" s="480"/>
      <c r="F26" s="480"/>
      <c r="G26" s="480"/>
      <c r="H26" s="363"/>
      <c r="I26" s="363"/>
      <c r="J26" s="363"/>
      <c r="K26" s="363"/>
      <c r="L26" s="363"/>
      <c r="M26" s="363"/>
      <c r="N26" s="363"/>
      <c r="O26" s="363"/>
      <c r="P26" s="363"/>
      <c r="Q26" s="363"/>
      <c r="R26" s="363"/>
      <c r="S26" s="364"/>
    </row>
    <row r="27" spans="2:19" s="503" customFormat="1" ht="18" customHeight="1">
      <c r="B27" s="362"/>
      <c r="C27" s="729">
        <v>0.72</v>
      </c>
      <c r="D27" s="725" t="s">
        <v>561</v>
      </c>
      <c r="E27" s="462" t="s">
        <v>52</v>
      </c>
      <c r="F27" s="462" t="s">
        <v>53</v>
      </c>
      <c r="G27" s="463" t="s">
        <v>39</v>
      </c>
      <c r="H27" s="463" t="s">
        <v>43</v>
      </c>
      <c r="I27" s="463" t="s">
        <v>40</v>
      </c>
      <c r="J27" s="463" t="s">
        <v>41</v>
      </c>
      <c r="K27" s="463" t="s">
        <v>42</v>
      </c>
      <c r="L27" s="463" t="s">
        <v>47</v>
      </c>
      <c r="M27" s="168" t="s">
        <v>199</v>
      </c>
      <c r="N27" s="504" t="s">
        <v>209</v>
      </c>
      <c r="O27" s="168" t="s">
        <v>210</v>
      </c>
      <c r="P27" s="168" t="s">
        <v>221</v>
      </c>
      <c r="Q27" s="168" t="s">
        <v>197</v>
      </c>
      <c r="R27" s="168" t="s">
        <v>196</v>
      </c>
      <c r="S27" s="488"/>
    </row>
    <row r="28" spans="2:19" s="503" customFormat="1" ht="78">
      <c r="B28" s="481"/>
      <c r="C28" s="79"/>
      <c r="D28" s="515"/>
      <c r="E28" s="844" t="s">
        <v>48</v>
      </c>
      <c r="F28" s="846" t="s">
        <v>495</v>
      </c>
      <c r="G28" s="848" t="s">
        <v>494</v>
      </c>
      <c r="H28" s="848" t="s">
        <v>203</v>
      </c>
      <c r="I28" s="848" t="s">
        <v>205</v>
      </c>
      <c r="J28" s="848" t="s">
        <v>206</v>
      </c>
      <c r="K28" s="465" t="s">
        <v>204</v>
      </c>
      <c r="L28" s="848" t="s">
        <v>200</v>
      </c>
      <c r="M28" s="848" t="s">
        <v>220</v>
      </c>
      <c r="N28" s="850" t="s">
        <v>224</v>
      </c>
      <c r="O28" s="467" t="s">
        <v>208</v>
      </c>
      <c r="P28" s="467" t="s">
        <v>193</v>
      </c>
      <c r="Q28" s="168" t="s">
        <v>490</v>
      </c>
      <c r="R28" s="168" t="s">
        <v>491</v>
      </c>
      <c r="S28" s="489"/>
    </row>
    <row r="29" spans="2:29" s="503" customFormat="1" ht="46.5" customHeight="1">
      <c r="B29" s="362"/>
      <c r="C29" s="363"/>
      <c r="D29" s="514"/>
      <c r="E29" s="845"/>
      <c r="F29" s="847"/>
      <c r="G29" s="849"/>
      <c r="H29" s="849"/>
      <c r="I29" s="849"/>
      <c r="J29" s="849"/>
      <c r="K29" s="467" t="s">
        <v>207</v>
      </c>
      <c r="L29" s="849"/>
      <c r="M29" s="849"/>
      <c r="N29" s="851"/>
      <c r="O29" s="505" t="s">
        <v>223</v>
      </c>
      <c r="P29" s="468" t="s">
        <v>560</v>
      </c>
      <c r="Q29" s="468" t="s">
        <v>4</v>
      </c>
      <c r="R29" s="468" t="s">
        <v>5</v>
      </c>
      <c r="S29" s="489"/>
      <c r="T29" s="506"/>
      <c r="U29" s="506"/>
      <c r="V29" s="506"/>
      <c r="W29" s="506"/>
      <c r="X29" s="506"/>
      <c r="Y29" s="506"/>
      <c r="Z29" s="506"/>
      <c r="AA29" s="506"/>
      <c r="AB29" s="506"/>
      <c r="AC29" s="506"/>
    </row>
    <row r="30" spans="2:29" s="503" customFormat="1" ht="20.25" customHeight="1">
      <c r="B30" s="362"/>
      <c r="C30" s="363" t="s">
        <v>187</v>
      </c>
      <c r="D30" s="483" t="s">
        <v>188</v>
      </c>
      <c r="E30" s="484">
        <v>0.7</v>
      </c>
      <c r="F30" s="485">
        <v>17500</v>
      </c>
      <c r="G30" s="485">
        <v>100</v>
      </c>
      <c r="H30" s="485">
        <v>0.03</v>
      </c>
      <c r="I30" s="485">
        <v>20</v>
      </c>
      <c r="J30" s="485">
        <v>0</v>
      </c>
      <c r="K30" s="516">
        <f>F30*G30*(EXP(-H30*J30)-EXP(-H30*I30))</f>
        <v>789579.6368354538</v>
      </c>
      <c r="L30" s="486">
        <v>0.1</v>
      </c>
      <c r="M30" s="486">
        <v>0</v>
      </c>
      <c r="N30" s="486">
        <v>0</v>
      </c>
      <c r="O30" s="517">
        <f>(K30*(1-M30)*(1-L30))+(K30*M30*(1-N30))</f>
        <v>710621.6731519084</v>
      </c>
      <c r="P30" s="517">
        <f>O30*$C$27/1000</f>
        <v>511.64760466937406</v>
      </c>
      <c r="Q30" s="516">
        <f>E30*P30</f>
        <v>358.15332326856185</v>
      </c>
      <c r="R30" s="516">
        <f>(1-E30)*P30</f>
        <v>153.49428140081224</v>
      </c>
      <c r="S30" s="490"/>
      <c r="T30" s="506"/>
      <c r="U30" s="506"/>
      <c r="V30" s="506"/>
      <c r="W30" s="506"/>
      <c r="X30" s="506"/>
      <c r="Y30" s="506"/>
      <c r="Z30" s="506"/>
      <c r="AA30" s="506"/>
      <c r="AB30" s="506"/>
      <c r="AC30" s="506"/>
    </row>
    <row r="31" spans="2:29" s="503" customFormat="1" ht="19.5" customHeight="1">
      <c r="B31" s="499"/>
      <c r="C31" s="469" t="s">
        <v>186</v>
      </c>
      <c r="D31" s="470" t="s">
        <v>185</v>
      </c>
      <c r="E31" s="471"/>
      <c r="F31" s="472"/>
      <c r="G31" s="473"/>
      <c r="H31" s="474"/>
      <c r="I31" s="474"/>
      <c r="J31" s="474"/>
      <c r="K31" s="474"/>
      <c r="L31" s="475"/>
      <c r="M31" s="475"/>
      <c r="N31" s="475"/>
      <c r="O31" s="472"/>
      <c r="P31" s="472"/>
      <c r="Q31" s="475"/>
      <c r="R31" s="472"/>
      <c r="S31" s="491"/>
      <c r="T31" s="506"/>
      <c r="U31" s="506"/>
      <c r="V31" s="506"/>
      <c r="W31" s="506"/>
      <c r="X31" s="506"/>
      <c r="Y31" s="506"/>
      <c r="Z31" s="506"/>
      <c r="AA31" s="506"/>
      <c r="AB31" s="506"/>
      <c r="AC31" s="506"/>
    </row>
    <row r="32" spans="2:29" s="503" customFormat="1" ht="18.75" customHeight="1">
      <c r="B32" s="362"/>
      <c r="C32" s="497"/>
      <c r="D32" s="179"/>
      <c r="E32" s="400"/>
      <c r="F32" s="179"/>
      <c r="G32" s="401"/>
      <c r="H32" s="401"/>
      <c r="I32" s="401"/>
      <c r="J32" s="401"/>
      <c r="K32" s="418">
        <f>F32*G32*(EXP(-H32*J32)-EXP(-H32*I32))</f>
        <v>0</v>
      </c>
      <c r="L32" s="401"/>
      <c r="M32" s="401"/>
      <c r="N32" s="401"/>
      <c r="O32" s="419">
        <f>(K32*(1-M32)*(1-L32))+(K32*M32*(1-N32))</f>
        <v>0</v>
      </c>
      <c r="P32" s="418">
        <f>O32*$C$27/1000</f>
        <v>0</v>
      </c>
      <c r="Q32" s="418">
        <f>E32*P32</f>
        <v>0</v>
      </c>
      <c r="R32" s="418">
        <f>(1-E32)*P32</f>
        <v>0</v>
      </c>
      <c r="S32" s="491"/>
      <c r="T32" s="506"/>
      <c r="U32" s="506"/>
      <c r="V32" s="506"/>
      <c r="W32" s="506"/>
      <c r="X32" s="506"/>
      <c r="Y32" s="506"/>
      <c r="Z32" s="506"/>
      <c r="AA32" s="506"/>
      <c r="AB32" s="506"/>
      <c r="AC32" s="506"/>
    </row>
    <row r="33" spans="2:29" s="503" customFormat="1" ht="18" customHeight="1">
      <c r="B33" s="362"/>
      <c r="C33" s="497"/>
      <c r="D33" s="179"/>
      <c r="E33" s="400"/>
      <c r="F33" s="179"/>
      <c r="G33" s="401"/>
      <c r="H33" s="401"/>
      <c r="I33" s="401"/>
      <c r="J33" s="401"/>
      <c r="K33" s="418">
        <f>F33*G33*(EXP(-H33*J33)-EXP(-H33*I33))</f>
        <v>0</v>
      </c>
      <c r="L33" s="401"/>
      <c r="M33" s="401"/>
      <c r="N33" s="401"/>
      <c r="O33" s="419">
        <f>(K33*(1-M33)*(1-L33))+(K33*M33*(1-N33))</f>
        <v>0</v>
      </c>
      <c r="P33" s="418">
        <f>O33*$C$27/1000</f>
        <v>0</v>
      </c>
      <c r="Q33" s="418">
        <f>E33*P33</f>
        <v>0</v>
      </c>
      <c r="R33" s="418">
        <f>(1-E33)*P33</f>
        <v>0</v>
      </c>
      <c r="S33" s="491"/>
      <c r="T33" s="506"/>
      <c r="U33" s="506"/>
      <c r="V33" s="506"/>
      <c r="W33" s="506"/>
      <c r="X33" s="506"/>
      <c r="Y33" s="506"/>
      <c r="Z33" s="506"/>
      <c r="AA33" s="506"/>
      <c r="AB33" s="506"/>
      <c r="AC33" s="506"/>
    </row>
    <row r="34" spans="2:29" s="503" customFormat="1" ht="20.25" customHeight="1">
      <c r="B34" s="362"/>
      <c r="C34" s="497"/>
      <c r="D34" s="179"/>
      <c r="E34" s="400"/>
      <c r="F34" s="179"/>
      <c r="G34" s="401"/>
      <c r="H34" s="401"/>
      <c r="I34" s="401"/>
      <c r="J34" s="401"/>
      <c r="K34" s="418">
        <f>F34*G34*(EXP(-H34*J34)-EXP(-H34*I34))</f>
        <v>0</v>
      </c>
      <c r="L34" s="401"/>
      <c r="M34" s="401"/>
      <c r="N34" s="401"/>
      <c r="O34" s="419">
        <f>(K34*(1-M34)*(1-L34))+(K34*M34*(1-N34))</f>
        <v>0</v>
      </c>
      <c r="P34" s="418">
        <f>O34*$C$27/1000</f>
        <v>0</v>
      </c>
      <c r="Q34" s="418">
        <f>E34*P34</f>
        <v>0</v>
      </c>
      <c r="R34" s="418">
        <f>(1-E34)*P34</f>
        <v>0</v>
      </c>
      <c r="S34" s="491"/>
      <c r="T34" s="506"/>
      <c r="U34" s="506"/>
      <c r="V34" s="506"/>
      <c r="W34" s="506"/>
      <c r="X34" s="506"/>
      <c r="Y34" s="506"/>
      <c r="Z34" s="506"/>
      <c r="AA34" s="506"/>
      <c r="AB34" s="506"/>
      <c r="AC34" s="506"/>
    </row>
    <row r="35" spans="2:29" s="503" customFormat="1" ht="21" customHeight="1">
      <c r="B35" s="362"/>
      <c r="C35" s="497"/>
      <c r="D35" s="179"/>
      <c r="E35" s="400"/>
      <c r="F35" s="179"/>
      <c r="G35" s="401"/>
      <c r="H35" s="401"/>
      <c r="I35" s="401"/>
      <c r="J35" s="401"/>
      <c r="K35" s="418">
        <f>F35*G35*(EXP(-H35*J35)-EXP(-H35*I35))</f>
        <v>0</v>
      </c>
      <c r="L35" s="401"/>
      <c r="M35" s="401"/>
      <c r="N35" s="401"/>
      <c r="O35" s="419">
        <f>(K35*(1-M35)*(1-L35))+(K35*M35*(1-N35))</f>
        <v>0</v>
      </c>
      <c r="P35" s="418">
        <f>O35*$C$27/1000</f>
        <v>0</v>
      </c>
      <c r="Q35" s="418">
        <f>E35*P35</f>
        <v>0</v>
      </c>
      <c r="R35" s="418">
        <f>(1-E35)*P35</f>
        <v>0</v>
      </c>
      <c r="S35" s="491"/>
      <c r="T35" s="506"/>
      <c r="U35" s="506"/>
      <c r="V35" s="506"/>
      <c r="W35" s="506"/>
      <c r="X35" s="506"/>
      <c r="Y35" s="506"/>
      <c r="Z35" s="506"/>
      <c r="AA35" s="506"/>
      <c r="AB35" s="506"/>
      <c r="AC35" s="506"/>
    </row>
    <row r="36" spans="2:29" s="503" customFormat="1" ht="20.25" customHeight="1">
      <c r="B36" s="362"/>
      <c r="C36" s="497"/>
      <c r="D36" s="179"/>
      <c r="E36" s="400"/>
      <c r="F36" s="179"/>
      <c r="G36" s="401"/>
      <c r="H36" s="401"/>
      <c r="I36" s="401"/>
      <c r="J36" s="401"/>
      <c r="K36" s="418">
        <f>F36*G36*(EXP(-H36*J36)-EXP(-H36*I36))</f>
        <v>0</v>
      </c>
      <c r="L36" s="401"/>
      <c r="M36" s="401"/>
      <c r="N36" s="401"/>
      <c r="O36" s="419">
        <f>(K36*(1-M36)*(1-L36))+(K36*M36*(1-N36))</f>
        <v>0</v>
      </c>
      <c r="P36" s="418">
        <f>O36*$C$27/1000</f>
        <v>0</v>
      </c>
      <c r="Q36" s="418">
        <f>E36*P36</f>
        <v>0</v>
      </c>
      <c r="R36" s="418">
        <f>(1-E36)*P36</f>
        <v>0</v>
      </c>
      <c r="S36" s="491"/>
      <c r="T36" s="506"/>
      <c r="U36" s="506"/>
      <c r="V36" s="506"/>
      <c r="W36" s="506"/>
      <c r="X36" s="506"/>
      <c r="Y36" s="506"/>
      <c r="Z36" s="506"/>
      <c r="AA36" s="506"/>
      <c r="AB36" s="506"/>
      <c r="AC36" s="506"/>
    </row>
    <row r="37" spans="2:27" s="503" customFormat="1" ht="18" customHeight="1">
      <c r="B37" s="362"/>
      <c r="C37" s="363"/>
      <c r="D37" s="480"/>
      <c r="E37" s="480"/>
      <c r="F37" s="480"/>
      <c r="G37" s="480"/>
      <c r="H37" s="363"/>
      <c r="I37" s="363"/>
      <c r="J37" s="479"/>
      <c r="K37" s="479"/>
      <c r="L37" s="479"/>
      <c r="M37" s="479"/>
      <c r="N37" s="479"/>
      <c r="O37" s="479"/>
      <c r="P37" s="479"/>
      <c r="Q37" s="519" t="s">
        <v>13</v>
      </c>
      <c r="R37" s="519" t="s">
        <v>14</v>
      </c>
      <c r="S37" s="492"/>
      <c r="T37" s="506"/>
      <c r="U37" s="506"/>
      <c r="V37" s="506"/>
      <c r="W37" s="506"/>
      <c r="X37" s="506"/>
      <c r="Y37" s="506"/>
      <c r="Z37" s="506"/>
      <c r="AA37" s="506"/>
    </row>
    <row r="38" spans="2:28" s="503" customFormat="1" ht="18" customHeight="1" thickBot="1">
      <c r="B38" s="500"/>
      <c r="C38" s="518"/>
      <c r="D38" s="525"/>
      <c r="E38" s="525"/>
      <c r="F38" s="526"/>
      <c r="G38" s="526"/>
      <c r="H38" s="526"/>
      <c r="I38" s="526"/>
      <c r="J38" s="526"/>
      <c r="K38" s="841" t="s">
        <v>28</v>
      </c>
      <c r="L38" s="842"/>
      <c r="M38" s="842"/>
      <c r="N38" s="843"/>
      <c r="O38" s="524"/>
      <c r="P38" s="524"/>
      <c r="Q38" s="498">
        <f>SUM(Q32:Q36)</f>
        <v>0</v>
      </c>
      <c r="R38" s="498">
        <f>SUM(R32:R36)</f>
        <v>0</v>
      </c>
      <c r="S38" s="518" t="s">
        <v>427</v>
      </c>
      <c r="T38" s="507"/>
      <c r="U38" s="508"/>
      <c r="V38" s="506"/>
      <c r="W38" s="506"/>
      <c r="X38" s="506"/>
      <c r="Y38" s="506"/>
      <c r="Z38" s="506"/>
      <c r="AA38" s="506"/>
      <c r="AB38" s="506"/>
    </row>
    <row r="39" spans="2:26" s="503" customFormat="1" ht="18" customHeight="1" thickTop="1">
      <c r="B39" s="520"/>
      <c r="C39" s="521"/>
      <c r="D39" s="522"/>
      <c r="E39" s="522"/>
      <c r="F39" s="523"/>
      <c r="G39" s="523"/>
      <c r="H39" s="523"/>
      <c r="I39" s="523"/>
      <c r="J39" s="523"/>
      <c r="K39" s="523"/>
      <c r="L39" s="479"/>
      <c r="M39" s="479"/>
      <c r="N39" s="479"/>
      <c r="O39" s="523"/>
      <c r="P39" s="521"/>
      <c r="Q39" s="519" t="s">
        <v>13</v>
      </c>
      <c r="R39" s="519" t="s">
        <v>14</v>
      </c>
      <c r="S39" s="524"/>
      <c r="T39" s="509"/>
      <c r="U39" s="506"/>
      <c r="V39" s="506"/>
      <c r="W39" s="506"/>
      <c r="X39" s="506"/>
      <c r="Y39" s="506"/>
      <c r="Z39" s="506"/>
    </row>
    <row r="40" spans="2:27" s="503" customFormat="1" ht="18" customHeight="1">
      <c r="B40" s="362"/>
      <c r="C40" s="479" t="s">
        <v>32</v>
      </c>
      <c r="D40" s="480"/>
      <c r="E40" s="480"/>
      <c r="F40" s="479"/>
      <c r="G40" s="479"/>
      <c r="H40" s="479"/>
      <c r="I40" s="479"/>
      <c r="J40" s="479"/>
      <c r="K40" s="854" t="s">
        <v>212</v>
      </c>
      <c r="L40" s="855"/>
      <c r="M40" s="855"/>
      <c r="N40" s="856"/>
      <c r="O40" s="527"/>
      <c r="P40" s="524"/>
      <c r="Q40" s="421">
        <f>IF(OR(G49="Invalid Year",ISERROR(G49)),+M23+Q38,+M23+Q38+G49)</f>
        <v>0</v>
      </c>
      <c r="R40" s="421">
        <f>IF(OR(G49="Invalid Year",ISERROR(G49)),+N23+R38,+N23+R38+G50)</f>
        <v>0</v>
      </c>
      <c r="S40" s="363" t="s">
        <v>427</v>
      </c>
      <c r="T40" s="509"/>
      <c r="U40" s="506"/>
      <c r="V40" s="506"/>
      <c r="W40" s="506"/>
      <c r="X40" s="506"/>
      <c r="Y40" s="506"/>
      <c r="Z40" s="506"/>
      <c r="AA40" s="506"/>
    </row>
    <row r="41" spans="2:20" s="506" customFormat="1" ht="15.75" thickBot="1">
      <c r="B41" s="500"/>
      <c r="C41" s="518"/>
      <c r="D41" s="518"/>
      <c r="E41" s="518"/>
      <c r="F41" s="518"/>
      <c r="G41" s="518"/>
      <c r="H41" s="518"/>
      <c r="I41" s="518"/>
      <c r="J41" s="518"/>
      <c r="K41" s="518"/>
      <c r="L41" s="518"/>
      <c r="M41" s="518"/>
      <c r="N41" s="518"/>
      <c r="O41" s="518"/>
      <c r="P41" s="518"/>
      <c r="Q41" s="363"/>
      <c r="R41" s="363"/>
      <c r="S41" s="364"/>
      <c r="T41" s="509"/>
    </row>
    <row r="42" spans="2:58" s="435" customFormat="1" ht="20.25" customHeight="1" thickTop="1">
      <c r="B42" s="361" t="s">
        <v>30</v>
      </c>
      <c r="C42" s="510"/>
      <c r="D42" s="528"/>
      <c r="E42" s="528"/>
      <c r="F42" s="528"/>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29"/>
    </row>
    <row r="43" spans="2:58" s="459" customFormat="1" ht="96" customHeight="1">
      <c r="B43" s="530"/>
      <c r="C43" s="864" t="s">
        <v>496</v>
      </c>
      <c r="D43" s="864"/>
      <c r="E43" s="864"/>
      <c r="F43" s="864"/>
      <c r="G43" s="864"/>
      <c r="H43" s="864"/>
      <c r="I43" s="864"/>
      <c r="J43" s="864"/>
      <c r="K43" s="864"/>
      <c r="L43" s="864"/>
      <c r="M43" s="864"/>
      <c r="N43" s="864"/>
      <c r="O43" s="864"/>
      <c r="P43" s="864"/>
      <c r="Q43" s="864"/>
      <c r="R43" s="864"/>
      <c r="S43" s="864"/>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2"/>
    </row>
    <row r="44" spans="2:58" s="503" customFormat="1" ht="83.25" customHeight="1">
      <c r="B44" s="362"/>
      <c r="C44" s="469" t="s">
        <v>186</v>
      </c>
      <c r="D44" s="470" t="s">
        <v>185</v>
      </c>
      <c r="E44" s="533" t="s">
        <v>48</v>
      </c>
      <c r="F44" s="534"/>
      <c r="G44" s="534"/>
      <c r="H44" s="535"/>
      <c r="I44" s="535"/>
      <c r="J44" s="535"/>
      <c r="K44" s="535"/>
      <c r="L44" s="535"/>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4"/>
    </row>
    <row r="45" spans="2:58" s="503" customFormat="1" ht="21.75" customHeight="1">
      <c r="B45" s="362"/>
      <c r="C45" s="497"/>
      <c r="D45" s="179"/>
      <c r="E45" s="544"/>
      <c r="F45" s="534"/>
      <c r="G45" s="534"/>
      <c r="H45" s="535"/>
      <c r="I45" s="535"/>
      <c r="J45" s="535"/>
      <c r="K45" s="535"/>
      <c r="L45" s="535"/>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4"/>
    </row>
    <row r="46" spans="2:58" s="503" customFormat="1" ht="21.75" customHeight="1">
      <c r="B46" s="362"/>
      <c r="C46" s="542" t="s">
        <v>132</v>
      </c>
      <c r="D46" s="535"/>
      <c r="E46" s="535"/>
      <c r="F46" s="535"/>
      <c r="G46" s="545"/>
      <c r="H46" s="535"/>
      <c r="I46" s="535"/>
      <c r="J46" s="535"/>
      <c r="K46" s="535"/>
      <c r="L46" s="535"/>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4"/>
    </row>
    <row r="47" spans="2:58" s="503" customFormat="1" ht="21.75" customHeight="1">
      <c r="B47" s="362"/>
      <c r="C47" s="542" t="s">
        <v>131</v>
      </c>
      <c r="D47" s="535"/>
      <c r="E47" s="535"/>
      <c r="F47" s="535"/>
      <c r="G47" s="545"/>
      <c r="H47" s="535"/>
      <c r="I47" s="535"/>
      <c r="J47" s="535"/>
      <c r="K47" s="535"/>
      <c r="L47" s="535"/>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4"/>
    </row>
    <row r="48" spans="2:58" s="503" customFormat="1" ht="21.75" customHeight="1">
      <c r="B48" s="362"/>
      <c r="C48" s="524"/>
      <c r="D48" s="543" t="s">
        <v>134</v>
      </c>
      <c r="E48" s="534"/>
      <c r="F48" s="534"/>
      <c r="G48" s="545"/>
      <c r="H48" s="535"/>
      <c r="I48" s="535"/>
      <c r="J48" s="535"/>
      <c r="K48" s="535"/>
      <c r="L48" s="535"/>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4"/>
    </row>
    <row r="49" spans="2:58" s="503" customFormat="1" ht="18" customHeight="1">
      <c r="B49" s="362"/>
      <c r="C49" s="524"/>
      <c r="D49" s="860" t="s">
        <v>486</v>
      </c>
      <c r="E49" s="861"/>
      <c r="F49" s="861"/>
      <c r="G49" s="546">
        <f>IF(G48&gt;=G46,IF(ISERROR(LOOKUP(G48,H51:BE51,H53:BE53)),0,E45*LOOKUP(G48,H51:BE51,H53:BE53)),"Invalid Year")</f>
        <v>0</v>
      </c>
      <c r="H49" s="363" t="s">
        <v>427</v>
      </c>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4"/>
    </row>
    <row r="50" spans="2:58" s="503" customFormat="1" ht="21.75" customHeight="1">
      <c r="B50" s="362"/>
      <c r="C50" s="524"/>
      <c r="D50" s="860" t="s">
        <v>487</v>
      </c>
      <c r="E50" s="861"/>
      <c r="F50" s="861"/>
      <c r="G50" s="546">
        <f>IF(G48&gt;=G46,IF(ISERROR(LOOKUP(G48,H51:BE51,H53:BE53)),0,(1-E45)*LOOKUP(G48,H51:BE51,H53:BE53)),"Invalid Year")</f>
        <v>0</v>
      </c>
      <c r="H50" s="363" t="s">
        <v>427</v>
      </c>
      <c r="I50" s="535"/>
      <c r="J50" s="535"/>
      <c r="K50" s="535"/>
      <c r="L50" s="535"/>
      <c r="M50" s="363"/>
      <c r="N50" s="363"/>
      <c r="O50" s="363"/>
      <c r="P50" s="363"/>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364"/>
    </row>
    <row r="51" spans="2:58" s="537" customFormat="1" ht="48.75" customHeight="1">
      <c r="B51" s="556"/>
      <c r="C51" s="557"/>
      <c r="D51" s="363"/>
      <c r="E51" s="363"/>
      <c r="F51" s="363"/>
      <c r="G51" s="558" t="s">
        <v>31</v>
      </c>
      <c r="H51" s="547">
        <f>+IF(G46="","",G46)</f>
      </c>
      <c r="I51" s="547">
        <f>+IF(ISERROR(AND(H51+1&gt;$G47,H51+1&gt;$G48)),"",IF((AND(H51+1&gt;$G47,H51+1&gt;$G48)),"",H51+1))</f>
      </c>
      <c r="J51" s="547">
        <f aca="true" t="shared" si="0" ref="J51:BE51">+IF(ISERROR(AND(I51+1&gt;$G47,I51+1&gt;$G48)),"",IF((AND(I51+1&gt;$G47,I51+1&gt;$G48)),"",I51+1))</f>
      </c>
      <c r="K51" s="547">
        <f t="shared" si="0"/>
      </c>
      <c r="L51" s="547">
        <f t="shared" si="0"/>
      </c>
      <c r="M51" s="547">
        <f t="shared" si="0"/>
      </c>
      <c r="N51" s="547">
        <f t="shared" si="0"/>
      </c>
      <c r="O51" s="547">
        <f t="shared" si="0"/>
      </c>
      <c r="P51" s="547">
        <f t="shared" si="0"/>
      </c>
      <c r="Q51" s="547">
        <f t="shared" si="0"/>
      </c>
      <c r="R51" s="547">
        <f t="shared" si="0"/>
      </c>
      <c r="S51" s="547">
        <f t="shared" si="0"/>
      </c>
      <c r="T51" s="547">
        <f t="shared" si="0"/>
      </c>
      <c r="U51" s="547">
        <f t="shared" si="0"/>
      </c>
      <c r="V51" s="547">
        <f t="shared" si="0"/>
      </c>
      <c r="W51" s="547">
        <f t="shared" si="0"/>
      </c>
      <c r="X51" s="547">
        <f t="shared" si="0"/>
      </c>
      <c r="Y51" s="547">
        <f t="shared" si="0"/>
      </c>
      <c r="Z51" s="547">
        <f t="shared" si="0"/>
      </c>
      <c r="AA51" s="547">
        <f t="shared" si="0"/>
      </c>
      <c r="AB51" s="547">
        <f t="shared" si="0"/>
      </c>
      <c r="AC51" s="547">
        <f t="shared" si="0"/>
      </c>
      <c r="AD51" s="547">
        <f t="shared" si="0"/>
      </c>
      <c r="AE51" s="547">
        <f t="shared" si="0"/>
      </c>
      <c r="AF51" s="547">
        <f t="shared" si="0"/>
      </c>
      <c r="AG51" s="547">
        <f t="shared" si="0"/>
      </c>
      <c r="AH51" s="547">
        <f t="shared" si="0"/>
      </c>
      <c r="AI51" s="547">
        <f t="shared" si="0"/>
      </c>
      <c r="AJ51" s="547">
        <f t="shared" si="0"/>
      </c>
      <c r="AK51" s="547">
        <f t="shared" si="0"/>
      </c>
      <c r="AL51" s="547">
        <f t="shared" si="0"/>
      </c>
      <c r="AM51" s="547">
        <f t="shared" si="0"/>
      </c>
      <c r="AN51" s="547">
        <f t="shared" si="0"/>
      </c>
      <c r="AO51" s="547">
        <f t="shared" si="0"/>
      </c>
      <c r="AP51" s="547">
        <f t="shared" si="0"/>
      </c>
      <c r="AQ51" s="547">
        <f t="shared" si="0"/>
      </c>
      <c r="AR51" s="547">
        <f t="shared" si="0"/>
      </c>
      <c r="AS51" s="547">
        <f t="shared" si="0"/>
      </c>
      <c r="AT51" s="547">
        <f t="shared" si="0"/>
      </c>
      <c r="AU51" s="547">
        <f t="shared" si="0"/>
      </c>
      <c r="AV51" s="547">
        <f t="shared" si="0"/>
      </c>
      <c r="AW51" s="547">
        <f t="shared" si="0"/>
      </c>
      <c r="AX51" s="547">
        <f t="shared" si="0"/>
      </c>
      <c r="AY51" s="547">
        <f t="shared" si="0"/>
      </c>
      <c r="AZ51" s="547">
        <f t="shared" si="0"/>
      </c>
      <c r="BA51" s="547">
        <f t="shared" si="0"/>
      </c>
      <c r="BB51" s="547">
        <f t="shared" si="0"/>
      </c>
      <c r="BC51" s="547">
        <f t="shared" si="0"/>
      </c>
      <c r="BD51" s="547">
        <f t="shared" si="0"/>
      </c>
      <c r="BE51" s="547">
        <f t="shared" si="0"/>
      </c>
      <c r="BF51" s="364"/>
    </row>
    <row r="52" spans="2:58" s="503" customFormat="1" ht="46.5">
      <c r="B52" s="362"/>
      <c r="C52" s="363"/>
      <c r="D52" s="363"/>
      <c r="E52" s="363"/>
      <c r="F52" s="363"/>
      <c r="G52" s="467" t="s">
        <v>194</v>
      </c>
      <c r="H52" s="548">
        <f aca="true" t="shared" si="1" ref="H52:AM52">IF(ISERROR(H53*GWPCH4),"",H53*GWPCH4)</f>
        <v>0</v>
      </c>
      <c r="I52" s="548">
        <f t="shared" si="1"/>
        <v>0</v>
      </c>
      <c r="J52" s="548">
        <f t="shared" si="1"/>
        <v>0</v>
      </c>
      <c r="K52" s="548">
        <f t="shared" si="1"/>
        <v>0</v>
      </c>
      <c r="L52" s="548">
        <f t="shared" si="1"/>
        <v>0</v>
      </c>
      <c r="M52" s="548">
        <f t="shared" si="1"/>
        <v>0</v>
      </c>
      <c r="N52" s="548">
        <f t="shared" si="1"/>
        <v>0</v>
      </c>
      <c r="O52" s="548">
        <f t="shared" si="1"/>
        <v>0</v>
      </c>
      <c r="P52" s="548">
        <f t="shared" si="1"/>
        <v>0</v>
      </c>
      <c r="Q52" s="548">
        <f t="shared" si="1"/>
        <v>0</v>
      </c>
      <c r="R52" s="548">
        <f t="shared" si="1"/>
        <v>0</v>
      </c>
      <c r="S52" s="548">
        <f t="shared" si="1"/>
        <v>0</v>
      </c>
      <c r="T52" s="548">
        <f t="shared" si="1"/>
        <v>0</v>
      </c>
      <c r="U52" s="548">
        <f t="shared" si="1"/>
        <v>0</v>
      </c>
      <c r="V52" s="548">
        <f t="shared" si="1"/>
        <v>0</v>
      </c>
      <c r="W52" s="548">
        <f t="shared" si="1"/>
        <v>0</v>
      </c>
      <c r="X52" s="548">
        <f t="shared" si="1"/>
        <v>0</v>
      </c>
      <c r="Y52" s="548">
        <f t="shared" si="1"/>
        <v>0</v>
      </c>
      <c r="Z52" s="548">
        <f t="shared" si="1"/>
        <v>0</v>
      </c>
      <c r="AA52" s="548">
        <f t="shared" si="1"/>
        <v>0</v>
      </c>
      <c r="AB52" s="548">
        <f t="shared" si="1"/>
        <v>0</v>
      </c>
      <c r="AC52" s="548">
        <f t="shared" si="1"/>
        <v>0</v>
      </c>
      <c r="AD52" s="548">
        <f t="shared" si="1"/>
        <v>0</v>
      </c>
      <c r="AE52" s="548">
        <f t="shared" si="1"/>
        <v>0</v>
      </c>
      <c r="AF52" s="548">
        <f t="shared" si="1"/>
        <v>0</v>
      </c>
      <c r="AG52" s="548">
        <f t="shared" si="1"/>
        <v>0</v>
      </c>
      <c r="AH52" s="548">
        <f t="shared" si="1"/>
        <v>0</v>
      </c>
      <c r="AI52" s="548">
        <f t="shared" si="1"/>
        <v>0</v>
      </c>
      <c r="AJ52" s="548">
        <f t="shared" si="1"/>
        <v>0</v>
      </c>
      <c r="AK52" s="548">
        <f t="shared" si="1"/>
        <v>0</v>
      </c>
      <c r="AL52" s="548">
        <f t="shared" si="1"/>
        <v>0</v>
      </c>
      <c r="AM52" s="548">
        <f t="shared" si="1"/>
        <v>0</v>
      </c>
      <c r="AN52" s="548">
        <f aca="true" t="shared" si="2" ref="AN52:BE52">IF(ISERROR(AN53*GWPCH4),"",AN53*GWPCH4)</f>
        <v>0</v>
      </c>
      <c r="AO52" s="548">
        <f t="shared" si="2"/>
        <v>0</v>
      </c>
      <c r="AP52" s="548">
        <f t="shared" si="2"/>
        <v>0</v>
      </c>
      <c r="AQ52" s="548">
        <f t="shared" si="2"/>
        <v>0</v>
      </c>
      <c r="AR52" s="548">
        <f t="shared" si="2"/>
        <v>0</v>
      </c>
      <c r="AS52" s="548">
        <f t="shared" si="2"/>
        <v>0</v>
      </c>
      <c r="AT52" s="548">
        <f t="shared" si="2"/>
        <v>0</v>
      </c>
      <c r="AU52" s="548">
        <f t="shared" si="2"/>
        <v>0</v>
      </c>
      <c r="AV52" s="548">
        <f t="shared" si="2"/>
        <v>0</v>
      </c>
      <c r="AW52" s="548">
        <f t="shared" si="2"/>
        <v>0</v>
      </c>
      <c r="AX52" s="548">
        <f t="shared" si="2"/>
        <v>0</v>
      </c>
      <c r="AY52" s="548">
        <f t="shared" si="2"/>
        <v>0</v>
      </c>
      <c r="AZ52" s="548">
        <f t="shared" si="2"/>
        <v>0</v>
      </c>
      <c r="BA52" s="548">
        <f t="shared" si="2"/>
        <v>0</v>
      </c>
      <c r="BB52" s="548">
        <f t="shared" si="2"/>
        <v>0</v>
      </c>
      <c r="BC52" s="548">
        <f t="shared" si="2"/>
        <v>0</v>
      </c>
      <c r="BD52" s="548">
        <f t="shared" si="2"/>
        <v>0</v>
      </c>
      <c r="BE52" s="548">
        <f t="shared" si="2"/>
        <v>0</v>
      </c>
      <c r="BF52" s="364"/>
    </row>
    <row r="53" spans="2:58" s="503" customFormat="1" ht="55.5" customHeight="1">
      <c r="B53" s="362"/>
      <c r="C53" s="730">
        <v>0.7167</v>
      </c>
      <c r="D53" s="726" t="s">
        <v>561</v>
      </c>
      <c r="E53" s="363"/>
      <c r="F53" s="363"/>
      <c r="G53" s="467" t="s">
        <v>6</v>
      </c>
      <c r="H53" s="548">
        <f aca="true" t="shared" si="3" ref="H53:AM53">IF(ISERROR(H54*$C$53/1000),"",H54*$C$53/1000)</f>
        <v>0</v>
      </c>
      <c r="I53" s="548">
        <f t="shared" si="3"/>
        <v>0</v>
      </c>
      <c r="J53" s="548">
        <f t="shared" si="3"/>
        <v>0</v>
      </c>
      <c r="K53" s="548">
        <f t="shared" si="3"/>
        <v>0</v>
      </c>
      <c r="L53" s="548">
        <f t="shared" si="3"/>
        <v>0</v>
      </c>
      <c r="M53" s="548">
        <f t="shared" si="3"/>
        <v>0</v>
      </c>
      <c r="N53" s="548">
        <f t="shared" si="3"/>
        <v>0</v>
      </c>
      <c r="O53" s="548">
        <f t="shared" si="3"/>
        <v>0</v>
      </c>
      <c r="P53" s="548">
        <f t="shared" si="3"/>
        <v>0</v>
      </c>
      <c r="Q53" s="548">
        <f t="shared" si="3"/>
        <v>0</v>
      </c>
      <c r="R53" s="548">
        <f t="shared" si="3"/>
        <v>0</v>
      </c>
      <c r="S53" s="548">
        <f t="shared" si="3"/>
        <v>0</v>
      </c>
      <c r="T53" s="548">
        <f t="shared" si="3"/>
        <v>0</v>
      </c>
      <c r="U53" s="548">
        <f t="shared" si="3"/>
        <v>0</v>
      </c>
      <c r="V53" s="548">
        <f t="shared" si="3"/>
        <v>0</v>
      </c>
      <c r="W53" s="548">
        <f t="shared" si="3"/>
        <v>0</v>
      </c>
      <c r="X53" s="548">
        <f t="shared" si="3"/>
        <v>0</v>
      </c>
      <c r="Y53" s="548">
        <f t="shared" si="3"/>
        <v>0</v>
      </c>
      <c r="Z53" s="548">
        <f t="shared" si="3"/>
        <v>0</v>
      </c>
      <c r="AA53" s="548">
        <f t="shared" si="3"/>
        <v>0</v>
      </c>
      <c r="AB53" s="548">
        <f t="shared" si="3"/>
        <v>0</v>
      </c>
      <c r="AC53" s="548">
        <f t="shared" si="3"/>
        <v>0</v>
      </c>
      <c r="AD53" s="548">
        <f t="shared" si="3"/>
        <v>0</v>
      </c>
      <c r="AE53" s="548">
        <f t="shared" si="3"/>
        <v>0</v>
      </c>
      <c r="AF53" s="548">
        <f t="shared" si="3"/>
        <v>0</v>
      </c>
      <c r="AG53" s="548">
        <f t="shared" si="3"/>
        <v>0</v>
      </c>
      <c r="AH53" s="548">
        <f t="shared" si="3"/>
        <v>0</v>
      </c>
      <c r="AI53" s="548">
        <f t="shared" si="3"/>
        <v>0</v>
      </c>
      <c r="AJ53" s="548">
        <f t="shared" si="3"/>
        <v>0</v>
      </c>
      <c r="AK53" s="548">
        <f t="shared" si="3"/>
        <v>0</v>
      </c>
      <c r="AL53" s="548">
        <f t="shared" si="3"/>
        <v>0</v>
      </c>
      <c r="AM53" s="548">
        <f t="shared" si="3"/>
        <v>0</v>
      </c>
      <c r="AN53" s="548">
        <f aca="true" t="shared" si="4" ref="AN53:BE53">IF(ISERROR(AN54*$C$53/1000),"",AN54*$C$53/1000)</f>
        <v>0</v>
      </c>
      <c r="AO53" s="548">
        <f t="shared" si="4"/>
        <v>0</v>
      </c>
      <c r="AP53" s="548">
        <f t="shared" si="4"/>
        <v>0</v>
      </c>
      <c r="AQ53" s="548">
        <f t="shared" si="4"/>
        <v>0</v>
      </c>
      <c r="AR53" s="548">
        <f t="shared" si="4"/>
        <v>0</v>
      </c>
      <c r="AS53" s="548">
        <f t="shared" si="4"/>
        <v>0</v>
      </c>
      <c r="AT53" s="548">
        <f t="shared" si="4"/>
        <v>0</v>
      </c>
      <c r="AU53" s="548">
        <f t="shared" si="4"/>
        <v>0</v>
      </c>
      <c r="AV53" s="548">
        <f t="shared" si="4"/>
        <v>0</v>
      </c>
      <c r="AW53" s="548">
        <f t="shared" si="4"/>
        <v>0</v>
      </c>
      <c r="AX53" s="548">
        <f t="shared" si="4"/>
        <v>0</v>
      </c>
      <c r="AY53" s="548">
        <f t="shared" si="4"/>
        <v>0</v>
      </c>
      <c r="AZ53" s="548">
        <f t="shared" si="4"/>
        <v>0</v>
      </c>
      <c r="BA53" s="548">
        <f t="shared" si="4"/>
        <v>0</v>
      </c>
      <c r="BB53" s="548">
        <f t="shared" si="4"/>
        <v>0</v>
      </c>
      <c r="BC53" s="548">
        <f t="shared" si="4"/>
        <v>0</v>
      </c>
      <c r="BD53" s="548">
        <f t="shared" si="4"/>
        <v>0</v>
      </c>
      <c r="BE53" s="548">
        <f t="shared" si="4"/>
        <v>0</v>
      </c>
      <c r="BF53" s="364"/>
    </row>
    <row r="54" spans="2:58" s="503" customFormat="1" ht="46.5">
      <c r="B54" s="362"/>
      <c r="C54" s="363"/>
      <c r="D54" s="363"/>
      <c r="E54" s="363"/>
      <c r="F54" s="363"/>
      <c r="G54" s="467" t="s">
        <v>208</v>
      </c>
      <c r="H54" s="548">
        <f>IF(ISERROR(H55*((1-H57)*(1-H56)+(H57*(1-H58)))),"",H55*((1-H57)*(1-H56)+(H57*(1-H58))))</f>
        <v>0</v>
      </c>
      <c r="I54" s="548">
        <f aca="true" t="shared" si="5" ref="I54:BE54">IF(ISERROR(I55*((1-I57)*(1-I56)+(I57*(1-I58)))),"",I55*((1-I57)*(1-I56)+(I57*(1-I58))))</f>
        <v>0</v>
      </c>
      <c r="J54" s="548">
        <f t="shared" si="5"/>
        <v>0</v>
      </c>
      <c r="K54" s="548">
        <f t="shared" si="5"/>
        <v>0</v>
      </c>
      <c r="L54" s="548">
        <f t="shared" si="5"/>
        <v>0</v>
      </c>
      <c r="M54" s="548">
        <f t="shared" si="5"/>
        <v>0</v>
      </c>
      <c r="N54" s="548">
        <f t="shared" si="5"/>
        <v>0</v>
      </c>
      <c r="O54" s="548">
        <f t="shared" si="5"/>
        <v>0</v>
      </c>
      <c r="P54" s="548">
        <f t="shared" si="5"/>
        <v>0</v>
      </c>
      <c r="Q54" s="548">
        <f t="shared" si="5"/>
        <v>0</v>
      </c>
      <c r="R54" s="548">
        <f t="shared" si="5"/>
        <v>0</v>
      </c>
      <c r="S54" s="548">
        <f t="shared" si="5"/>
        <v>0</v>
      </c>
      <c r="T54" s="548">
        <f t="shared" si="5"/>
        <v>0</v>
      </c>
      <c r="U54" s="548">
        <f t="shared" si="5"/>
        <v>0</v>
      </c>
      <c r="V54" s="548">
        <f t="shared" si="5"/>
        <v>0</v>
      </c>
      <c r="W54" s="548">
        <f t="shared" si="5"/>
        <v>0</v>
      </c>
      <c r="X54" s="548">
        <f t="shared" si="5"/>
        <v>0</v>
      </c>
      <c r="Y54" s="548">
        <f t="shared" si="5"/>
        <v>0</v>
      </c>
      <c r="Z54" s="548">
        <f t="shared" si="5"/>
        <v>0</v>
      </c>
      <c r="AA54" s="548">
        <f t="shared" si="5"/>
        <v>0</v>
      </c>
      <c r="AB54" s="548">
        <f t="shared" si="5"/>
        <v>0</v>
      </c>
      <c r="AC54" s="548">
        <f t="shared" si="5"/>
        <v>0</v>
      </c>
      <c r="AD54" s="548">
        <f t="shared" si="5"/>
        <v>0</v>
      </c>
      <c r="AE54" s="548">
        <f t="shared" si="5"/>
        <v>0</v>
      </c>
      <c r="AF54" s="548">
        <f t="shared" si="5"/>
        <v>0</v>
      </c>
      <c r="AG54" s="548">
        <f t="shared" si="5"/>
        <v>0</v>
      </c>
      <c r="AH54" s="548">
        <f t="shared" si="5"/>
        <v>0</v>
      </c>
      <c r="AI54" s="548">
        <f t="shared" si="5"/>
        <v>0</v>
      </c>
      <c r="AJ54" s="548">
        <f t="shared" si="5"/>
        <v>0</v>
      </c>
      <c r="AK54" s="548">
        <f t="shared" si="5"/>
        <v>0</v>
      </c>
      <c r="AL54" s="548">
        <f t="shared" si="5"/>
        <v>0</v>
      </c>
      <c r="AM54" s="548">
        <f t="shared" si="5"/>
        <v>0</v>
      </c>
      <c r="AN54" s="548">
        <f t="shared" si="5"/>
        <v>0</v>
      </c>
      <c r="AO54" s="548">
        <f t="shared" si="5"/>
        <v>0</v>
      </c>
      <c r="AP54" s="548">
        <f t="shared" si="5"/>
        <v>0</v>
      </c>
      <c r="AQ54" s="548">
        <f t="shared" si="5"/>
        <v>0</v>
      </c>
      <c r="AR54" s="548">
        <f t="shared" si="5"/>
        <v>0</v>
      </c>
      <c r="AS54" s="548">
        <f t="shared" si="5"/>
        <v>0</v>
      </c>
      <c r="AT54" s="548">
        <f t="shared" si="5"/>
        <v>0</v>
      </c>
      <c r="AU54" s="548">
        <f t="shared" si="5"/>
        <v>0</v>
      </c>
      <c r="AV54" s="548">
        <f t="shared" si="5"/>
        <v>0</v>
      </c>
      <c r="AW54" s="548">
        <f t="shared" si="5"/>
        <v>0</v>
      </c>
      <c r="AX54" s="548">
        <f t="shared" si="5"/>
        <v>0</v>
      </c>
      <c r="AY54" s="548">
        <f t="shared" si="5"/>
        <v>0</v>
      </c>
      <c r="AZ54" s="548">
        <f t="shared" si="5"/>
        <v>0</v>
      </c>
      <c r="BA54" s="548">
        <f t="shared" si="5"/>
        <v>0</v>
      </c>
      <c r="BB54" s="548">
        <f t="shared" si="5"/>
        <v>0</v>
      </c>
      <c r="BC54" s="548">
        <f t="shared" si="5"/>
        <v>0</v>
      </c>
      <c r="BD54" s="548">
        <f t="shared" si="5"/>
        <v>0</v>
      </c>
      <c r="BE54" s="548">
        <f t="shared" si="5"/>
        <v>0</v>
      </c>
      <c r="BF54" s="364"/>
    </row>
    <row r="55" spans="2:58" s="503" customFormat="1" ht="78">
      <c r="B55" s="362"/>
      <c r="C55" s="363"/>
      <c r="D55" s="363"/>
      <c r="E55" s="363"/>
      <c r="F55" s="363"/>
      <c r="G55" s="465" t="s">
        <v>204</v>
      </c>
      <c r="H55" s="548">
        <f>IF(ISERROR(SUM(H$59:H$108)),"",SUM(H$59:H$108))</f>
        <v>0</v>
      </c>
      <c r="I55" s="548">
        <f aca="true" t="shared" si="6" ref="I55:BE55">IF(ISERROR(SUM(I$59:I$108)),"",SUM(I$59:I$108))</f>
        <v>0</v>
      </c>
      <c r="J55" s="548">
        <f t="shared" si="6"/>
        <v>0</v>
      </c>
      <c r="K55" s="548">
        <f t="shared" si="6"/>
        <v>0</v>
      </c>
      <c r="L55" s="548">
        <f t="shared" si="6"/>
        <v>0</v>
      </c>
      <c r="M55" s="548">
        <f t="shared" si="6"/>
        <v>0</v>
      </c>
      <c r="N55" s="548">
        <f t="shared" si="6"/>
        <v>0</v>
      </c>
      <c r="O55" s="548">
        <f t="shared" si="6"/>
        <v>0</v>
      </c>
      <c r="P55" s="548">
        <f t="shared" si="6"/>
        <v>0</v>
      </c>
      <c r="Q55" s="548">
        <f t="shared" si="6"/>
        <v>0</v>
      </c>
      <c r="R55" s="548">
        <f t="shared" si="6"/>
        <v>0</v>
      </c>
      <c r="S55" s="548">
        <f t="shared" si="6"/>
        <v>0</v>
      </c>
      <c r="T55" s="548">
        <f t="shared" si="6"/>
        <v>0</v>
      </c>
      <c r="U55" s="548">
        <f t="shared" si="6"/>
        <v>0</v>
      </c>
      <c r="V55" s="548">
        <f t="shared" si="6"/>
        <v>0</v>
      </c>
      <c r="W55" s="548">
        <f t="shared" si="6"/>
        <v>0</v>
      </c>
      <c r="X55" s="548">
        <f t="shared" si="6"/>
        <v>0</v>
      </c>
      <c r="Y55" s="548">
        <f t="shared" si="6"/>
        <v>0</v>
      </c>
      <c r="Z55" s="548">
        <f t="shared" si="6"/>
        <v>0</v>
      </c>
      <c r="AA55" s="548">
        <f t="shared" si="6"/>
        <v>0</v>
      </c>
      <c r="AB55" s="548">
        <f t="shared" si="6"/>
        <v>0</v>
      </c>
      <c r="AC55" s="548">
        <f t="shared" si="6"/>
        <v>0</v>
      </c>
      <c r="AD55" s="548">
        <f t="shared" si="6"/>
        <v>0</v>
      </c>
      <c r="AE55" s="548">
        <f t="shared" si="6"/>
        <v>0</v>
      </c>
      <c r="AF55" s="548">
        <f t="shared" si="6"/>
        <v>0</v>
      </c>
      <c r="AG55" s="548">
        <f t="shared" si="6"/>
        <v>0</v>
      </c>
      <c r="AH55" s="548">
        <f t="shared" si="6"/>
        <v>0</v>
      </c>
      <c r="AI55" s="548">
        <f t="shared" si="6"/>
        <v>0</v>
      </c>
      <c r="AJ55" s="548">
        <f t="shared" si="6"/>
        <v>0</v>
      </c>
      <c r="AK55" s="548">
        <f t="shared" si="6"/>
        <v>0</v>
      </c>
      <c r="AL55" s="548">
        <f t="shared" si="6"/>
        <v>0</v>
      </c>
      <c r="AM55" s="548">
        <f t="shared" si="6"/>
        <v>0</v>
      </c>
      <c r="AN55" s="548">
        <f t="shared" si="6"/>
        <v>0</v>
      </c>
      <c r="AO55" s="548">
        <f t="shared" si="6"/>
        <v>0</v>
      </c>
      <c r="AP55" s="548">
        <f t="shared" si="6"/>
        <v>0</v>
      </c>
      <c r="AQ55" s="548">
        <f t="shared" si="6"/>
        <v>0</v>
      </c>
      <c r="AR55" s="548">
        <f t="shared" si="6"/>
        <v>0</v>
      </c>
      <c r="AS55" s="548">
        <f t="shared" si="6"/>
        <v>0</v>
      </c>
      <c r="AT55" s="548">
        <f t="shared" si="6"/>
        <v>0</v>
      </c>
      <c r="AU55" s="548">
        <f t="shared" si="6"/>
        <v>0</v>
      </c>
      <c r="AV55" s="548">
        <f t="shared" si="6"/>
        <v>0</v>
      </c>
      <c r="AW55" s="548">
        <f t="shared" si="6"/>
        <v>0</v>
      </c>
      <c r="AX55" s="548">
        <f t="shared" si="6"/>
        <v>0</v>
      </c>
      <c r="AY55" s="548">
        <f t="shared" si="6"/>
        <v>0</v>
      </c>
      <c r="AZ55" s="548">
        <f t="shared" si="6"/>
        <v>0</v>
      </c>
      <c r="BA55" s="548">
        <f t="shared" si="6"/>
        <v>0</v>
      </c>
      <c r="BB55" s="548">
        <f t="shared" si="6"/>
        <v>0</v>
      </c>
      <c r="BC55" s="548">
        <f t="shared" si="6"/>
        <v>0</v>
      </c>
      <c r="BD55" s="548">
        <f t="shared" si="6"/>
        <v>0</v>
      </c>
      <c r="BE55" s="548">
        <f t="shared" si="6"/>
        <v>0</v>
      </c>
      <c r="BF55" s="364"/>
    </row>
    <row r="56" spans="2:58" s="503" customFormat="1" ht="93">
      <c r="B56" s="481"/>
      <c r="C56" s="363"/>
      <c r="D56" s="559" t="s">
        <v>184</v>
      </c>
      <c r="E56" s="363"/>
      <c r="F56" s="363"/>
      <c r="G56" s="466" t="s">
        <v>200</v>
      </c>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364"/>
    </row>
    <row r="57" spans="2:58" s="503" customFormat="1" ht="46.5">
      <c r="B57" s="362"/>
      <c r="C57" s="363"/>
      <c r="D57" s="363"/>
      <c r="E57" s="363"/>
      <c r="F57" s="363"/>
      <c r="G57" s="466" t="s">
        <v>220</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364"/>
    </row>
    <row r="58" spans="2:58" s="503" customFormat="1" ht="79.5">
      <c r="B58" s="362"/>
      <c r="C58" s="467" t="s">
        <v>135</v>
      </c>
      <c r="D58" s="467" t="s">
        <v>497</v>
      </c>
      <c r="E58" s="467" t="s">
        <v>498</v>
      </c>
      <c r="F58" s="467" t="s">
        <v>133</v>
      </c>
      <c r="G58" s="538" t="s">
        <v>224</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364"/>
    </row>
    <row r="59" spans="2:58" s="503" customFormat="1" ht="18.75" customHeight="1">
      <c r="B59" s="362"/>
      <c r="C59" s="549">
        <f>+IF(H$51&lt;=$G$47,H$51,"")</f>
      </c>
      <c r="D59" s="550"/>
      <c r="E59" s="551"/>
      <c r="F59" s="552"/>
      <c r="G59" s="554"/>
      <c r="H59" s="553"/>
      <c r="I59" s="553">
        <f aca="true" t="shared" si="7" ref="I59:BE64">IF(ISERROR($F59*$E59*EXP(-$F59*(I$51-$C59))*$D59),"",$F59*$E59*EXP(-$F59*(I$51-$C59))*$D59)</f>
      </c>
      <c r="J59" s="553">
        <f t="shared" si="7"/>
      </c>
      <c r="K59" s="553">
        <f t="shared" si="7"/>
      </c>
      <c r="L59" s="553">
        <f t="shared" si="7"/>
      </c>
      <c r="M59" s="553">
        <f t="shared" si="7"/>
      </c>
      <c r="N59" s="553">
        <f t="shared" si="7"/>
      </c>
      <c r="O59" s="553">
        <f t="shared" si="7"/>
      </c>
      <c r="P59" s="553">
        <f t="shared" si="7"/>
      </c>
      <c r="Q59" s="553">
        <f t="shared" si="7"/>
      </c>
      <c r="R59" s="553">
        <f t="shared" si="7"/>
      </c>
      <c r="S59" s="553">
        <f t="shared" si="7"/>
      </c>
      <c r="T59" s="553">
        <f t="shared" si="7"/>
      </c>
      <c r="U59" s="553">
        <f t="shared" si="7"/>
      </c>
      <c r="V59" s="553">
        <f t="shared" si="7"/>
      </c>
      <c r="W59" s="553">
        <f t="shared" si="7"/>
      </c>
      <c r="X59" s="553">
        <f t="shared" si="7"/>
      </c>
      <c r="Y59" s="553">
        <f t="shared" si="7"/>
      </c>
      <c r="Z59" s="553">
        <f t="shared" si="7"/>
      </c>
      <c r="AA59" s="553">
        <f t="shared" si="7"/>
      </c>
      <c r="AB59" s="553">
        <f t="shared" si="7"/>
      </c>
      <c r="AC59" s="553">
        <f t="shared" si="7"/>
      </c>
      <c r="AD59" s="553">
        <f t="shared" si="7"/>
      </c>
      <c r="AE59" s="553">
        <f t="shared" si="7"/>
      </c>
      <c r="AF59" s="553">
        <f t="shared" si="7"/>
      </c>
      <c r="AG59" s="553">
        <f t="shared" si="7"/>
      </c>
      <c r="AH59" s="553">
        <f t="shared" si="7"/>
      </c>
      <c r="AI59" s="553">
        <f t="shared" si="7"/>
      </c>
      <c r="AJ59" s="553">
        <f t="shared" si="7"/>
      </c>
      <c r="AK59" s="553">
        <f t="shared" si="7"/>
      </c>
      <c r="AL59" s="553">
        <f t="shared" si="7"/>
      </c>
      <c r="AM59" s="553">
        <f t="shared" si="7"/>
      </c>
      <c r="AN59" s="553">
        <f t="shared" si="7"/>
      </c>
      <c r="AO59" s="553">
        <f t="shared" si="7"/>
      </c>
      <c r="AP59" s="553">
        <f t="shared" si="7"/>
      </c>
      <c r="AQ59" s="553">
        <f t="shared" si="7"/>
      </c>
      <c r="AR59" s="553">
        <f t="shared" si="7"/>
      </c>
      <c r="AS59" s="553">
        <f t="shared" si="7"/>
      </c>
      <c r="AT59" s="553">
        <f t="shared" si="7"/>
      </c>
      <c r="AU59" s="553">
        <f t="shared" si="7"/>
      </c>
      <c r="AV59" s="553">
        <f t="shared" si="7"/>
      </c>
      <c r="AW59" s="553">
        <f t="shared" si="7"/>
      </c>
      <c r="AX59" s="553">
        <f t="shared" si="7"/>
      </c>
      <c r="AY59" s="553">
        <f t="shared" si="7"/>
      </c>
      <c r="AZ59" s="553">
        <f t="shared" si="7"/>
      </c>
      <c r="BA59" s="553">
        <f t="shared" si="7"/>
      </c>
      <c r="BB59" s="553">
        <f t="shared" si="7"/>
      </c>
      <c r="BC59" s="553">
        <f t="shared" si="7"/>
      </c>
      <c r="BD59" s="553">
        <f t="shared" si="7"/>
      </c>
      <c r="BE59" s="553">
        <f t="shared" si="7"/>
      </c>
      <c r="BF59" s="364"/>
    </row>
    <row r="60" spans="2:58" s="503" customFormat="1" ht="18" customHeight="1">
      <c r="B60" s="362"/>
      <c r="C60" s="549">
        <f>+IF(I$51&lt;=$G$47,I$51,"")</f>
      </c>
      <c r="D60" s="550"/>
      <c r="E60" s="551"/>
      <c r="F60" s="552"/>
      <c r="G60" s="554"/>
      <c r="H60" s="555"/>
      <c r="I60" s="553"/>
      <c r="J60" s="553">
        <f t="shared" si="7"/>
      </c>
      <c r="K60" s="553">
        <f t="shared" si="7"/>
      </c>
      <c r="L60" s="553">
        <f t="shared" si="7"/>
      </c>
      <c r="M60" s="553">
        <f t="shared" si="7"/>
      </c>
      <c r="N60" s="553">
        <f t="shared" si="7"/>
      </c>
      <c r="O60" s="553">
        <f t="shared" si="7"/>
      </c>
      <c r="P60" s="553">
        <f t="shared" si="7"/>
      </c>
      <c r="Q60" s="553">
        <f t="shared" si="7"/>
      </c>
      <c r="R60" s="553">
        <f t="shared" si="7"/>
      </c>
      <c r="S60" s="553">
        <f t="shared" si="7"/>
      </c>
      <c r="T60" s="553">
        <f t="shared" si="7"/>
      </c>
      <c r="U60" s="553">
        <f t="shared" si="7"/>
      </c>
      <c r="V60" s="553">
        <f t="shared" si="7"/>
      </c>
      <c r="W60" s="553">
        <f t="shared" si="7"/>
      </c>
      <c r="X60" s="553">
        <f t="shared" si="7"/>
      </c>
      <c r="Y60" s="553">
        <f t="shared" si="7"/>
      </c>
      <c r="Z60" s="553">
        <f t="shared" si="7"/>
      </c>
      <c r="AA60" s="553">
        <f t="shared" si="7"/>
      </c>
      <c r="AB60" s="553">
        <f t="shared" si="7"/>
      </c>
      <c r="AC60" s="553">
        <f t="shared" si="7"/>
      </c>
      <c r="AD60" s="553">
        <f t="shared" si="7"/>
      </c>
      <c r="AE60" s="553">
        <f t="shared" si="7"/>
      </c>
      <c r="AF60" s="553">
        <f t="shared" si="7"/>
      </c>
      <c r="AG60" s="553">
        <f t="shared" si="7"/>
      </c>
      <c r="AH60" s="553">
        <f t="shared" si="7"/>
      </c>
      <c r="AI60" s="553">
        <f t="shared" si="7"/>
      </c>
      <c r="AJ60" s="553">
        <f t="shared" si="7"/>
      </c>
      <c r="AK60" s="553">
        <f t="shared" si="7"/>
      </c>
      <c r="AL60" s="553">
        <f t="shared" si="7"/>
      </c>
      <c r="AM60" s="553">
        <f t="shared" si="7"/>
      </c>
      <c r="AN60" s="553">
        <f t="shared" si="7"/>
      </c>
      <c r="AO60" s="553">
        <f t="shared" si="7"/>
      </c>
      <c r="AP60" s="553">
        <f t="shared" si="7"/>
      </c>
      <c r="AQ60" s="553">
        <f t="shared" si="7"/>
      </c>
      <c r="AR60" s="553">
        <f t="shared" si="7"/>
      </c>
      <c r="AS60" s="553">
        <f t="shared" si="7"/>
      </c>
      <c r="AT60" s="553">
        <f t="shared" si="7"/>
      </c>
      <c r="AU60" s="553">
        <f t="shared" si="7"/>
      </c>
      <c r="AV60" s="553">
        <f t="shared" si="7"/>
      </c>
      <c r="AW60" s="553">
        <f t="shared" si="7"/>
      </c>
      <c r="AX60" s="553">
        <f t="shared" si="7"/>
      </c>
      <c r="AY60" s="553">
        <f t="shared" si="7"/>
      </c>
      <c r="AZ60" s="553">
        <f t="shared" si="7"/>
      </c>
      <c r="BA60" s="553">
        <f t="shared" si="7"/>
      </c>
      <c r="BB60" s="553">
        <f t="shared" si="7"/>
      </c>
      <c r="BC60" s="553">
        <f t="shared" si="7"/>
      </c>
      <c r="BD60" s="553">
        <f t="shared" si="7"/>
      </c>
      <c r="BE60" s="553">
        <f t="shared" si="7"/>
      </c>
      <c r="BF60" s="364"/>
    </row>
    <row r="61" spans="2:58" s="503" customFormat="1" ht="20.25" customHeight="1">
      <c r="B61" s="362"/>
      <c r="C61" s="549">
        <f>+IF(J$51&lt;=$G$47,J$51,"")</f>
      </c>
      <c r="D61" s="550"/>
      <c r="E61" s="551"/>
      <c r="F61" s="552"/>
      <c r="G61" s="554"/>
      <c r="H61" s="555"/>
      <c r="I61" s="555"/>
      <c r="J61" s="553"/>
      <c r="K61" s="553">
        <f t="shared" si="7"/>
      </c>
      <c r="L61" s="553">
        <f t="shared" si="7"/>
      </c>
      <c r="M61" s="553">
        <f t="shared" si="7"/>
      </c>
      <c r="N61" s="553">
        <f t="shared" si="7"/>
      </c>
      <c r="O61" s="553">
        <f t="shared" si="7"/>
      </c>
      <c r="P61" s="553">
        <f t="shared" si="7"/>
      </c>
      <c r="Q61" s="553">
        <f t="shared" si="7"/>
      </c>
      <c r="R61" s="553">
        <f t="shared" si="7"/>
      </c>
      <c r="S61" s="553">
        <f t="shared" si="7"/>
      </c>
      <c r="T61" s="553">
        <f t="shared" si="7"/>
      </c>
      <c r="U61" s="553">
        <f t="shared" si="7"/>
      </c>
      <c r="V61" s="553">
        <f t="shared" si="7"/>
      </c>
      <c r="W61" s="553">
        <f t="shared" si="7"/>
      </c>
      <c r="X61" s="553">
        <f t="shared" si="7"/>
      </c>
      <c r="Y61" s="553">
        <f t="shared" si="7"/>
      </c>
      <c r="Z61" s="553">
        <f t="shared" si="7"/>
      </c>
      <c r="AA61" s="553">
        <f t="shared" si="7"/>
      </c>
      <c r="AB61" s="553">
        <f t="shared" si="7"/>
      </c>
      <c r="AC61" s="553">
        <f t="shared" si="7"/>
      </c>
      <c r="AD61" s="553">
        <f t="shared" si="7"/>
      </c>
      <c r="AE61" s="553">
        <f t="shared" si="7"/>
      </c>
      <c r="AF61" s="553">
        <f t="shared" si="7"/>
      </c>
      <c r="AG61" s="553">
        <f t="shared" si="7"/>
      </c>
      <c r="AH61" s="553">
        <f t="shared" si="7"/>
      </c>
      <c r="AI61" s="553">
        <f t="shared" si="7"/>
      </c>
      <c r="AJ61" s="553">
        <f t="shared" si="7"/>
      </c>
      <c r="AK61" s="553">
        <f t="shared" si="7"/>
      </c>
      <c r="AL61" s="553">
        <f t="shared" si="7"/>
      </c>
      <c r="AM61" s="553">
        <f t="shared" si="7"/>
      </c>
      <c r="AN61" s="553">
        <f t="shared" si="7"/>
      </c>
      <c r="AO61" s="553">
        <f t="shared" si="7"/>
      </c>
      <c r="AP61" s="553">
        <f t="shared" si="7"/>
      </c>
      <c r="AQ61" s="553">
        <f t="shared" si="7"/>
      </c>
      <c r="AR61" s="553">
        <f t="shared" si="7"/>
      </c>
      <c r="AS61" s="553">
        <f t="shared" si="7"/>
      </c>
      <c r="AT61" s="553">
        <f t="shared" si="7"/>
      </c>
      <c r="AU61" s="553">
        <f t="shared" si="7"/>
      </c>
      <c r="AV61" s="553">
        <f t="shared" si="7"/>
      </c>
      <c r="AW61" s="553">
        <f t="shared" si="7"/>
      </c>
      <c r="AX61" s="553">
        <f t="shared" si="7"/>
      </c>
      <c r="AY61" s="553">
        <f t="shared" si="7"/>
      </c>
      <c r="AZ61" s="553">
        <f t="shared" si="7"/>
      </c>
      <c r="BA61" s="553">
        <f t="shared" si="7"/>
      </c>
      <c r="BB61" s="553">
        <f t="shared" si="7"/>
      </c>
      <c r="BC61" s="553">
        <f t="shared" si="7"/>
      </c>
      <c r="BD61" s="553">
        <f t="shared" si="7"/>
      </c>
      <c r="BE61" s="553">
        <f t="shared" si="7"/>
      </c>
      <c r="BF61" s="364"/>
    </row>
    <row r="62" spans="2:58" s="503" customFormat="1" ht="21" customHeight="1">
      <c r="B62" s="362"/>
      <c r="C62" s="549">
        <f>+IF(K$51&lt;=$G$47,K$51,"")</f>
      </c>
      <c r="D62" s="550"/>
      <c r="E62" s="551"/>
      <c r="F62" s="552"/>
      <c r="G62" s="554"/>
      <c r="H62" s="555"/>
      <c r="I62" s="555"/>
      <c r="J62" s="555"/>
      <c r="K62" s="553"/>
      <c r="L62" s="553">
        <f t="shared" si="7"/>
      </c>
      <c r="M62" s="553">
        <f t="shared" si="7"/>
      </c>
      <c r="N62" s="553">
        <f t="shared" si="7"/>
      </c>
      <c r="O62" s="553">
        <f t="shared" si="7"/>
      </c>
      <c r="P62" s="553">
        <f t="shared" si="7"/>
      </c>
      <c r="Q62" s="553">
        <f t="shared" si="7"/>
      </c>
      <c r="R62" s="553">
        <f t="shared" si="7"/>
      </c>
      <c r="S62" s="553">
        <f t="shared" si="7"/>
      </c>
      <c r="T62" s="553">
        <f t="shared" si="7"/>
      </c>
      <c r="U62" s="553">
        <f t="shared" si="7"/>
      </c>
      <c r="V62" s="553">
        <f t="shared" si="7"/>
      </c>
      <c r="W62" s="553">
        <f t="shared" si="7"/>
      </c>
      <c r="X62" s="553">
        <f t="shared" si="7"/>
      </c>
      <c r="Y62" s="553">
        <f t="shared" si="7"/>
      </c>
      <c r="Z62" s="553">
        <f t="shared" si="7"/>
      </c>
      <c r="AA62" s="553">
        <f t="shared" si="7"/>
      </c>
      <c r="AB62" s="553">
        <f t="shared" si="7"/>
      </c>
      <c r="AC62" s="553">
        <f t="shared" si="7"/>
      </c>
      <c r="AD62" s="553">
        <f t="shared" si="7"/>
      </c>
      <c r="AE62" s="553">
        <f t="shared" si="7"/>
      </c>
      <c r="AF62" s="553">
        <f t="shared" si="7"/>
      </c>
      <c r="AG62" s="553">
        <f t="shared" si="7"/>
      </c>
      <c r="AH62" s="553">
        <f t="shared" si="7"/>
      </c>
      <c r="AI62" s="553">
        <f t="shared" si="7"/>
      </c>
      <c r="AJ62" s="553">
        <f t="shared" si="7"/>
      </c>
      <c r="AK62" s="553">
        <f t="shared" si="7"/>
      </c>
      <c r="AL62" s="553">
        <f t="shared" si="7"/>
      </c>
      <c r="AM62" s="553">
        <f t="shared" si="7"/>
      </c>
      <c r="AN62" s="553">
        <f t="shared" si="7"/>
      </c>
      <c r="AO62" s="553">
        <f t="shared" si="7"/>
      </c>
      <c r="AP62" s="553">
        <f t="shared" si="7"/>
      </c>
      <c r="AQ62" s="553">
        <f t="shared" si="7"/>
      </c>
      <c r="AR62" s="553">
        <f t="shared" si="7"/>
      </c>
      <c r="AS62" s="553">
        <f t="shared" si="7"/>
      </c>
      <c r="AT62" s="553">
        <f t="shared" si="7"/>
      </c>
      <c r="AU62" s="553">
        <f t="shared" si="7"/>
      </c>
      <c r="AV62" s="553">
        <f t="shared" si="7"/>
      </c>
      <c r="AW62" s="553">
        <f t="shared" si="7"/>
      </c>
      <c r="AX62" s="553">
        <f t="shared" si="7"/>
      </c>
      <c r="AY62" s="553">
        <f t="shared" si="7"/>
      </c>
      <c r="AZ62" s="553">
        <f t="shared" si="7"/>
      </c>
      <c r="BA62" s="553">
        <f t="shared" si="7"/>
      </c>
      <c r="BB62" s="553">
        <f t="shared" si="7"/>
      </c>
      <c r="BC62" s="553">
        <f t="shared" si="7"/>
      </c>
      <c r="BD62" s="553">
        <f t="shared" si="7"/>
      </c>
      <c r="BE62" s="553">
        <f t="shared" si="7"/>
      </c>
      <c r="BF62" s="364"/>
    </row>
    <row r="63" spans="2:58" s="503" customFormat="1" ht="20.25" customHeight="1">
      <c r="B63" s="362"/>
      <c r="C63" s="549">
        <f>+IF(L$51&lt;=$G$47,L$51,"")</f>
      </c>
      <c r="D63" s="550"/>
      <c r="E63" s="551"/>
      <c r="F63" s="552"/>
      <c r="G63" s="554"/>
      <c r="H63" s="555"/>
      <c r="I63" s="555"/>
      <c r="J63" s="555"/>
      <c r="K63" s="555"/>
      <c r="L63" s="553"/>
      <c r="M63" s="553">
        <f t="shared" si="7"/>
      </c>
      <c r="N63" s="553">
        <f t="shared" si="7"/>
      </c>
      <c r="O63" s="553">
        <f t="shared" si="7"/>
      </c>
      <c r="P63" s="553">
        <f t="shared" si="7"/>
      </c>
      <c r="Q63" s="553">
        <f t="shared" si="7"/>
      </c>
      <c r="R63" s="553">
        <f t="shared" si="7"/>
      </c>
      <c r="S63" s="553">
        <f t="shared" si="7"/>
      </c>
      <c r="T63" s="553">
        <f t="shared" si="7"/>
      </c>
      <c r="U63" s="553">
        <f t="shared" si="7"/>
      </c>
      <c r="V63" s="553">
        <f t="shared" si="7"/>
      </c>
      <c r="W63" s="553">
        <f t="shared" si="7"/>
      </c>
      <c r="X63" s="553">
        <f t="shared" si="7"/>
      </c>
      <c r="Y63" s="553">
        <f t="shared" si="7"/>
      </c>
      <c r="Z63" s="553">
        <f t="shared" si="7"/>
      </c>
      <c r="AA63" s="553">
        <f t="shared" si="7"/>
      </c>
      <c r="AB63" s="553">
        <f t="shared" si="7"/>
      </c>
      <c r="AC63" s="553">
        <f t="shared" si="7"/>
      </c>
      <c r="AD63" s="553">
        <f t="shared" si="7"/>
      </c>
      <c r="AE63" s="553">
        <f t="shared" si="7"/>
      </c>
      <c r="AF63" s="553">
        <f t="shared" si="7"/>
      </c>
      <c r="AG63" s="553">
        <f t="shared" si="7"/>
      </c>
      <c r="AH63" s="553">
        <f t="shared" si="7"/>
      </c>
      <c r="AI63" s="553">
        <f t="shared" si="7"/>
      </c>
      <c r="AJ63" s="553">
        <f t="shared" si="7"/>
      </c>
      <c r="AK63" s="553">
        <f t="shared" si="7"/>
      </c>
      <c r="AL63" s="553">
        <f t="shared" si="7"/>
      </c>
      <c r="AM63" s="553">
        <f t="shared" si="7"/>
      </c>
      <c r="AN63" s="553">
        <f t="shared" si="7"/>
      </c>
      <c r="AO63" s="553">
        <f t="shared" si="7"/>
      </c>
      <c r="AP63" s="553">
        <f t="shared" si="7"/>
      </c>
      <c r="AQ63" s="553">
        <f t="shared" si="7"/>
      </c>
      <c r="AR63" s="553">
        <f t="shared" si="7"/>
      </c>
      <c r="AS63" s="553">
        <f t="shared" si="7"/>
      </c>
      <c r="AT63" s="553">
        <f t="shared" si="7"/>
      </c>
      <c r="AU63" s="553">
        <f t="shared" si="7"/>
      </c>
      <c r="AV63" s="553">
        <f t="shared" si="7"/>
      </c>
      <c r="AW63" s="553">
        <f t="shared" si="7"/>
      </c>
      <c r="AX63" s="553">
        <f t="shared" si="7"/>
      </c>
      <c r="AY63" s="553">
        <f t="shared" si="7"/>
      </c>
      <c r="AZ63" s="553">
        <f t="shared" si="7"/>
      </c>
      <c r="BA63" s="553">
        <f t="shared" si="7"/>
      </c>
      <c r="BB63" s="553">
        <f t="shared" si="7"/>
      </c>
      <c r="BC63" s="553">
        <f t="shared" si="7"/>
      </c>
      <c r="BD63" s="553">
        <f t="shared" si="7"/>
      </c>
      <c r="BE63" s="553">
        <f t="shared" si="7"/>
      </c>
      <c r="BF63" s="364"/>
    </row>
    <row r="64" spans="2:58" s="503" customFormat="1" ht="18" customHeight="1">
      <c r="B64" s="362"/>
      <c r="C64" s="549">
        <f>+IF(M$51&lt;=$G$47,M$51,"")</f>
      </c>
      <c r="D64" s="550"/>
      <c r="E64" s="551"/>
      <c r="F64" s="552"/>
      <c r="G64" s="554"/>
      <c r="H64" s="555"/>
      <c r="I64" s="555"/>
      <c r="J64" s="555"/>
      <c r="K64" s="555"/>
      <c r="L64" s="555"/>
      <c r="M64" s="553"/>
      <c r="N64" s="553">
        <f t="shared" si="7"/>
      </c>
      <c r="O64" s="553">
        <f t="shared" si="7"/>
      </c>
      <c r="P64" s="553">
        <f t="shared" si="7"/>
      </c>
      <c r="Q64" s="553">
        <f t="shared" si="7"/>
      </c>
      <c r="R64" s="553">
        <f t="shared" si="7"/>
      </c>
      <c r="S64" s="553">
        <f t="shared" si="7"/>
      </c>
      <c r="T64" s="553">
        <f t="shared" si="7"/>
      </c>
      <c r="U64" s="553">
        <f t="shared" si="7"/>
      </c>
      <c r="V64" s="553">
        <f t="shared" si="7"/>
      </c>
      <c r="W64" s="553">
        <f t="shared" si="7"/>
      </c>
      <c r="X64" s="553">
        <f t="shared" si="7"/>
      </c>
      <c r="Y64" s="553">
        <f t="shared" si="7"/>
      </c>
      <c r="Z64" s="553">
        <f t="shared" si="7"/>
      </c>
      <c r="AA64" s="553">
        <f t="shared" si="7"/>
      </c>
      <c r="AB64" s="553">
        <f t="shared" si="7"/>
      </c>
      <c r="AC64" s="553">
        <f t="shared" si="7"/>
      </c>
      <c r="AD64" s="553">
        <f t="shared" si="7"/>
      </c>
      <c r="AE64" s="553">
        <f t="shared" si="7"/>
      </c>
      <c r="AF64" s="553">
        <f t="shared" si="7"/>
      </c>
      <c r="AG64" s="553">
        <f t="shared" si="7"/>
      </c>
      <c r="AH64" s="553">
        <f aca="true" t="shared" si="8" ref="AH64:BE64">IF(ISERROR($F64*$E64*EXP(-$F64*(AH$51-$C64))*$D64),"",$F64*$E64*EXP(-$F64*(AH$51-$C64))*$D64)</f>
      </c>
      <c r="AI64" s="553">
        <f t="shared" si="8"/>
      </c>
      <c r="AJ64" s="553">
        <f t="shared" si="8"/>
      </c>
      <c r="AK64" s="553">
        <f t="shared" si="8"/>
      </c>
      <c r="AL64" s="553">
        <f t="shared" si="8"/>
      </c>
      <c r="AM64" s="553">
        <f t="shared" si="8"/>
      </c>
      <c r="AN64" s="553">
        <f t="shared" si="8"/>
      </c>
      <c r="AO64" s="553">
        <f t="shared" si="8"/>
      </c>
      <c r="AP64" s="553">
        <f t="shared" si="8"/>
      </c>
      <c r="AQ64" s="553">
        <f t="shared" si="8"/>
      </c>
      <c r="AR64" s="553">
        <f t="shared" si="8"/>
      </c>
      <c r="AS64" s="553">
        <f t="shared" si="8"/>
      </c>
      <c r="AT64" s="553">
        <f t="shared" si="8"/>
      </c>
      <c r="AU64" s="553">
        <f t="shared" si="8"/>
      </c>
      <c r="AV64" s="553">
        <f t="shared" si="8"/>
      </c>
      <c r="AW64" s="553">
        <f t="shared" si="8"/>
      </c>
      <c r="AX64" s="553">
        <f t="shared" si="8"/>
      </c>
      <c r="AY64" s="553">
        <f t="shared" si="8"/>
      </c>
      <c r="AZ64" s="553">
        <f t="shared" si="8"/>
      </c>
      <c r="BA64" s="553">
        <f t="shared" si="8"/>
      </c>
      <c r="BB64" s="553">
        <f t="shared" si="8"/>
      </c>
      <c r="BC64" s="553">
        <f t="shared" si="8"/>
      </c>
      <c r="BD64" s="553">
        <f t="shared" si="8"/>
      </c>
      <c r="BE64" s="553">
        <f t="shared" si="8"/>
      </c>
      <c r="BF64" s="364"/>
    </row>
    <row r="65" spans="2:58" s="503" customFormat="1" ht="15">
      <c r="B65" s="362"/>
      <c r="C65" s="549">
        <f>+IF(N$51&lt;=$G$47,N$51,"")</f>
      </c>
      <c r="D65" s="550"/>
      <c r="E65" s="551"/>
      <c r="F65" s="552"/>
      <c r="G65" s="554"/>
      <c r="H65" s="555"/>
      <c r="I65" s="555"/>
      <c r="J65" s="555"/>
      <c r="K65" s="555"/>
      <c r="L65" s="555"/>
      <c r="M65" s="555"/>
      <c r="N65" s="553"/>
      <c r="O65" s="553">
        <f aca="true" t="shared" si="9" ref="O65:BE71">IF(ISERROR($F65*$E65*EXP(-$F65*(O$51-$C65))*$D65),"",$F65*$E65*EXP(-$F65*(O$51-$C65))*$D65)</f>
      </c>
      <c r="P65" s="553">
        <f t="shared" si="9"/>
      </c>
      <c r="Q65" s="553">
        <f t="shared" si="9"/>
      </c>
      <c r="R65" s="553">
        <f t="shared" si="9"/>
      </c>
      <c r="S65" s="553">
        <f t="shared" si="9"/>
      </c>
      <c r="T65" s="553">
        <f t="shared" si="9"/>
      </c>
      <c r="U65" s="553">
        <f t="shared" si="9"/>
      </c>
      <c r="V65" s="553">
        <f t="shared" si="9"/>
      </c>
      <c r="W65" s="553">
        <f t="shared" si="9"/>
      </c>
      <c r="X65" s="553">
        <f t="shared" si="9"/>
      </c>
      <c r="Y65" s="553">
        <f t="shared" si="9"/>
      </c>
      <c r="Z65" s="553">
        <f t="shared" si="9"/>
      </c>
      <c r="AA65" s="553">
        <f t="shared" si="9"/>
      </c>
      <c r="AB65" s="553">
        <f t="shared" si="9"/>
      </c>
      <c r="AC65" s="553">
        <f t="shared" si="9"/>
      </c>
      <c r="AD65" s="553">
        <f t="shared" si="9"/>
      </c>
      <c r="AE65" s="553">
        <f t="shared" si="9"/>
      </c>
      <c r="AF65" s="553">
        <f t="shared" si="9"/>
      </c>
      <c r="AG65" s="553">
        <f t="shared" si="9"/>
      </c>
      <c r="AH65" s="553">
        <f t="shared" si="9"/>
      </c>
      <c r="AI65" s="553">
        <f t="shared" si="9"/>
      </c>
      <c r="AJ65" s="553">
        <f t="shared" si="9"/>
      </c>
      <c r="AK65" s="553">
        <f t="shared" si="9"/>
      </c>
      <c r="AL65" s="553">
        <f t="shared" si="9"/>
      </c>
      <c r="AM65" s="553">
        <f t="shared" si="9"/>
      </c>
      <c r="AN65" s="553">
        <f t="shared" si="9"/>
      </c>
      <c r="AO65" s="553">
        <f t="shared" si="9"/>
      </c>
      <c r="AP65" s="553">
        <f t="shared" si="9"/>
      </c>
      <c r="AQ65" s="553">
        <f t="shared" si="9"/>
      </c>
      <c r="AR65" s="553">
        <f t="shared" si="9"/>
      </c>
      <c r="AS65" s="553">
        <f t="shared" si="9"/>
      </c>
      <c r="AT65" s="553">
        <f t="shared" si="9"/>
      </c>
      <c r="AU65" s="553">
        <f t="shared" si="9"/>
      </c>
      <c r="AV65" s="553">
        <f t="shared" si="9"/>
      </c>
      <c r="AW65" s="553">
        <f t="shared" si="9"/>
      </c>
      <c r="AX65" s="553">
        <f t="shared" si="9"/>
      </c>
      <c r="AY65" s="553">
        <f t="shared" si="9"/>
      </c>
      <c r="AZ65" s="553">
        <f t="shared" si="9"/>
      </c>
      <c r="BA65" s="553">
        <f t="shared" si="9"/>
      </c>
      <c r="BB65" s="553">
        <f t="shared" si="9"/>
      </c>
      <c r="BC65" s="553">
        <f t="shared" si="9"/>
      </c>
      <c r="BD65" s="553">
        <f t="shared" si="9"/>
      </c>
      <c r="BE65" s="553">
        <f t="shared" si="9"/>
      </c>
      <c r="BF65" s="364"/>
    </row>
    <row r="66" spans="2:58" s="503" customFormat="1" ht="15">
      <c r="B66" s="560"/>
      <c r="C66" s="549">
        <f>+IF(O$51&lt;=$G$47,O$51,"")</f>
      </c>
      <c r="D66" s="550"/>
      <c r="E66" s="551"/>
      <c r="F66" s="552"/>
      <c r="G66" s="554"/>
      <c r="H66" s="555"/>
      <c r="I66" s="555"/>
      <c r="J66" s="555"/>
      <c r="K66" s="555"/>
      <c r="L66" s="555"/>
      <c r="M66" s="555"/>
      <c r="N66" s="555"/>
      <c r="O66" s="553"/>
      <c r="P66" s="553">
        <f t="shared" si="9"/>
      </c>
      <c r="Q66" s="553">
        <f t="shared" si="9"/>
      </c>
      <c r="R66" s="553">
        <f t="shared" si="9"/>
      </c>
      <c r="S66" s="553">
        <f t="shared" si="9"/>
      </c>
      <c r="T66" s="553">
        <f t="shared" si="9"/>
      </c>
      <c r="U66" s="553">
        <f t="shared" si="9"/>
      </c>
      <c r="V66" s="553">
        <f t="shared" si="9"/>
      </c>
      <c r="W66" s="553">
        <f t="shared" si="9"/>
      </c>
      <c r="X66" s="553">
        <f t="shared" si="9"/>
      </c>
      <c r="Y66" s="553">
        <f t="shared" si="9"/>
      </c>
      <c r="Z66" s="553">
        <f t="shared" si="9"/>
      </c>
      <c r="AA66" s="553">
        <f t="shared" si="9"/>
      </c>
      <c r="AB66" s="553">
        <f t="shared" si="9"/>
      </c>
      <c r="AC66" s="553">
        <f t="shared" si="9"/>
      </c>
      <c r="AD66" s="553">
        <f t="shared" si="9"/>
      </c>
      <c r="AE66" s="553">
        <f t="shared" si="9"/>
      </c>
      <c r="AF66" s="553">
        <f t="shared" si="9"/>
      </c>
      <c r="AG66" s="553">
        <f t="shared" si="9"/>
      </c>
      <c r="AH66" s="553">
        <f t="shared" si="9"/>
      </c>
      <c r="AI66" s="553">
        <f t="shared" si="9"/>
      </c>
      <c r="AJ66" s="553">
        <f t="shared" si="9"/>
      </c>
      <c r="AK66" s="553">
        <f t="shared" si="9"/>
      </c>
      <c r="AL66" s="553">
        <f t="shared" si="9"/>
      </c>
      <c r="AM66" s="553">
        <f t="shared" si="9"/>
      </c>
      <c r="AN66" s="553">
        <f t="shared" si="9"/>
      </c>
      <c r="AO66" s="553">
        <f t="shared" si="9"/>
      </c>
      <c r="AP66" s="553">
        <f t="shared" si="9"/>
      </c>
      <c r="AQ66" s="553">
        <f t="shared" si="9"/>
      </c>
      <c r="AR66" s="553">
        <f t="shared" si="9"/>
      </c>
      <c r="AS66" s="553">
        <f t="shared" si="9"/>
      </c>
      <c r="AT66" s="553">
        <f t="shared" si="9"/>
      </c>
      <c r="AU66" s="553">
        <f t="shared" si="9"/>
      </c>
      <c r="AV66" s="553">
        <f t="shared" si="9"/>
      </c>
      <c r="AW66" s="553">
        <f t="shared" si="9"/>
      </c>
      <c r="AX66" s="553">
        <f t="shared" si="9"/>
      </c>
      <c r="AY66" s="553">
        <f t="shared" si="9"/>
      </c>
      <c r="AZ66" s="553">
        <f t="shared" si="9"/>
      </c>
      <c r="BA66" s="553">
        <f t="shared" si="9"/>
      </c>
      <c r="BB66" s="553">
        <f t="shared" si="9"/>
      </c>
      <c r="BC66" s="553">
        <f t="shared" si="9"/>
      </c>
      <c r="BD66" s="553">
        <f t="shared" si="9"/>
      </c>
      <c r="BE66" s="553">
        <f t="shared" si="9"/>
      </c>
      <c r="BF66" s="364"/>
    </row>
    <row r="67" spans="2:58" s="503" customFormat="1" ht="15">
      <c r="B67" s="362"/>
      <c r="C67" s="549">
        <f>+IF(P$51&lt;=$G$47,P$51,"")</f>
      </c>
      <c r="D67" s="550"/>
      <c r="E67" s="551"/>
      <c r="F67" s="552"/>
      <c r="G67" s="554"/>
      <c r="H67" s="555"/>
      <c r="I67" s="555"/>
      <c r="J67" s="555"/>
      <c r="K67" s="555"/>
      <c r="L67" s="555"/>
      <c r="M67" s="555"/>
      <c r="N67" s="555"/>
      <c r="O67" s="555"/>
      <c r="P67" s="553"/>
      <c r="Q67" s="553">
        <f t="shared" si="9"/>
      </c>
      <c r="R67" s="553">
        <f t="shared" si="9"/>
      </c>
      <c r="S67" s="553">
        <f t="shared" si="9"/>
      </c>
      <c r="T67" s="553">
        <f t="shared" si="9"/>
      </c>
      <c r="U67" s="553">
        <f t="shared" si="9"/>
      </c>
      <c r="V67" s="553">
        <f t="shared" si="9"/>
      </c>
      <c r="W67" s="553">
        <f t="shared" si="9"/>
      </c>
      <c r="X67" s="553">
        <f t="shared" si="9"/>
      </c>
      <c r="Y67" s="553">
        <f t="shared" si="9"/>
      </c>
      <c r="Z67" s="553">
        <f t="shared" si="9"/>
      </c>
      <c r="AA67" s="553">
        <f t="shared" si="9"/>
      </c>
      <c r="AB67" s="553">
        <f t="shared" si="9"/>
      </c>
      <c r="AC67" s="553">
        <f t="shared" si="9"/>
      </c>
      <c r="AD67" s="553">
        <f t="shared" si="9"/>
      </c>
      <c r="AE67" s="553">
        <f t="shared" si="9"/>
      </c>
      <c r="AF67" s="553">
        <f t="shared" si="9"/>
      </c>
      <c r="AG67" s="553">
        <f t="shared" si="9"/>
      </c>
      <c r="AH67" s="553">
        <f t="shared" si="9"/>
      </c>
      <c r="AI67" s="553">
        <f t="shared" si="9"/>
      </c>
      <c r="AJ67" s="553">
        <f t="shared" si="9"/>
      </c>
      <c r="AK67" s="553">
        <f t="shared" si="9"/>
      </c>
      <c r="AL67" s="553">
        <f t="shared" si="9"/>
      </c>
      <c r="AM67" s="553">
        <f t="shared" si="9"/>
      </c>
      <c r="AN67" s="553">
        <f t="shared" si="9"/>
      </c>
      <c r="AO67" s="553">
        <f t="shared" si="9"/>
      </c>
      <c r="AP67" s="553">
        <f t="shared" si="9"/>
      </c>
      <c r="AQ67" s="553">
        <f t="shared" si="9"/>
      </c>
      <c r="AR67" s="553">
        <f t="shared" si="9"/>
      </c>
      <c r="AS67" s="553">
        <f t="shared" si="9"/>
      </c>
      <c r="AT67" s="553">
        <f t="shared" si="9"/>
      </c>
      <c r="AU67" s="553">
        <f t="shared" si="9"/>
      </c>
      <c r="AV67" s="553">
        <f t="shared" si="9"/>
      </c>
      <c r="AW67" s="553">
        <f t="shared" si="9"/>
      </c>
      <c r="AX67" s="553">
        <f t="shared" si="9"/>
      </c>
      <c r="AY67" s="553">
        <f t="shared" si="9"/>
      </c>
      <c r="AZ67" s="553">
        <f t="shared" si="9"/>
      </c>
      <c r="BA67" s="553">
        <f t="shared" si="9"/>
      </c>
      <c r="BB67" s="553">
        <f t="shared" si="9"/>
      </c>
      <c r="BC67" s="553">
        <f t="shared" si="9"/>
      </c>
      <c r="BD67" s="553">
        <f t="shared" si="9"/>
      </c>
      <c r="BE67" s="553">
        <f t="shared" si="9"/>
      </c>
      <c r="BF67" s="364"/>
    </row>
    <row r="68" spans="2:58" s="503" customFormat="1" ht="15">
      <c r="B68" s="362"/>
      <c r="C68" s="549">
        <f>+IF(Q$51&lt;=$G$47,Q$51,"")</f>
      </c>
      <c r="D68" s="550"/>
      <c r="E68" s="551"/>
      <c r="F68" s="552"/>
      <c r="G68" s="554"/>
      <c r="H68" s="555"/>
      <c r="I68" s="555"/>
      <c r="J68" s="555"/>
      <c r="K68" s="555"/>
      <c r="L68" s="555"/>
      <c r="M68" s="555"/>
      <c r="N68" s="555"/>
      <c r="O68" s="555"/>
      <c r="P68" s="555"/>
      <c r="Q68" s="553"/>
      <c r="R68" s="553">
        <f t="shared" si="9"/>
      </c>
      <c r="S68" s="553">
        <f t="shared" si="9"/>
      </c>
      <c r="T68" s="553">
        <f t="shared" si="9"/>
      </c>
      <c r="U68" s="553">
        <f t="shared" si="9"/>
      </c>
      <c r="V68" s="553">
        <f t="shared" si="9"/>
      </c>
      <c r="W68" s="553">
        <f t="shared" si="9"/>
      </c>
      <c r="X68" s="553">
        <f t="shared" si="9"/>
      </c>
      <c r="Y68" s="553">
        <f t="shared" si="9"/>
      </c>
      <c r="Z68" s="553">
        <f t="shared" si="9"/>
      </c>
      <c r="AA68" s="553">
        <f t="shared" si="9"/>
      </c>
      <c r="AB68" s="553">
        <f t="shared" si="9"/>
      </c>
      <c r="AC68" s="553">
        <f t="shared" si="9"/>
      </c>
      <c r="AD68" s="553">
        <f t="shared" si="9"/>
      </c>
      <c r="AE68" s="553">
        <f t="shared" si="9"/>
      </c>
      <c r="AF68" s="553">
        <f t="shared" si="9"/>
      </c>
      <c r="AG68" s="553">
        <f t="shared" si="9"/>
      </c>
      <c r="AH68" s="553">
        <f t="shared" si="9"/>
      </c>
      <c r="AI68" s="553">
        <f t="shared" si="9"/>
      </c>
      <c r="AJ68" s="553">
        <f t="shared" si="9"/>
      </c>
      <c r="AK68" s="553">
        <f t="shared" si="9"/>
      </c>
      <c r="AL68" s="553">
        <f t="shared" si="9"/>
      </c>
      <c r="AM68" s="553">
        <f t="shared" si="9"/>
      </c>
      <c r="AN68" s="553">
        <f t="shared" si="9"/>
      </c>
      <c r="AO68" s="553">
        <f t="shared" si="9"/>
      </c>
      <c r="AP68" s="553">
        <f t="shared" si="9"/>
      </c>
      <c r="AQ68" s="553">
        <f t="shared" si="9"/>
      </c>
      <c r="AR68" s="553">
        <f t="shared" si="9"/>
      </c>
      <c r="AS68" s="553">
        <f t="shared" si="9"/>
      </c>
      <c r="AT68" s="553">
        <f t="shared" si="9"/>
      </c>
      <c r="AU68" s="553">
        <f t="shared" si="9"/>
      </c>
      <c r="AV68" s="553">
        <f t="shared" si="9"/>
      </c>
      <c r="AW68" s="553">
        <f t="shared" si="9"/>
      </c>
      <c r="AX68" s="553">
        <f t="shared" si="9"/>
      </c>
      <c r="AY68" s="553">
        <f t="shared" si="9"/>
      </c>
      <c r="AZ68" s="553">
        <f t="shared" si="9"/>
      </c>
      <c r="BA68" s="553">
        <f t="shared" si="9"/>
      </c>
      <c r="BB68" s="553">
        <f t="shared" si="9"/>
      </c>
      <c r="BC68" s="553">
        <f t="shared" si="9"/>
      </c>
      <c r="BD68" s="553">
        <f t="shared" si="9"/>
      </c>
      <c r="BE68" s="553">
        <f t="shared" si="9"/>
      </c>
      <c r="BF68" s="364"/>
    </row>
    <row r="69" spans="2:58" s="503" customFormat="1" ht="15">
      <c r="B69" s="362"/>
      <c r="C69" s="549">
        <f>+IF(R$51&lt;=$G$47,R$51,"")</f>
      </c>
      <c r="D69" s="550"/>
      <c r="E69" s="551"/>
      <c r="F69" s="552"/>
      <c r="G69" s="554"/>
      <c r="H69" s="555"/>
      <c r="I69" s="555"/>
      <c r="J69" s="555"/>
      <c r="K69" s="555"/>
      <c r="L69" s="555"/>
      <c r="M69" s="555"/>
      <c r="N69" s="555"/>
      <c r="O69" s="555"/>
      <c r="P69" s="555"/>
      <c r="Q69" s="555"/>
      <c r="R69" s="553"/>
      <c r="S69" s="553">
        <f t="shared" si="9"/>
      </c>
      <c r="T69" s="553">
        <f t="shared" si="9"/>
      </c>
      <c r="U69" s="553">
        <f t="shared" si="9"/>
      </c>
      <c r="V69" s="553">
        <f t="shared" si="9"/>
      </c>
      <c r="W69" s="553">
        <f t="shared" si="9"/>
      </c>
      <c r="X69" s="553">
        <f t="shared" si="9"/>
      </c>
      <c r="Y69" s="553">
        <f t="shared" si="9"/>
      </c>
      <c r="Z69" s="553">
        <f t="shared" si="9"/>
      </c>
      <c r="AA69" s="553">
        <f t="shared" si="9"/>
      </c>
      <c r="AB69" s="553">
        <f t="shared" si="9"/>
      </c>
      <c r="AC69" s="553">
        <f t="shared" si="9"/>
      </c>
      <c r="AD69" s="553">
        <f t="shared" si="9"/>
      </c>
      <c r="AE69" s="553">
        <f t="shared" si="9"/>
      </c>
      <c r="AF69" s="553">
        <f t="shared" si="9"/>
      </c>
      <c r="AG69" s="553">
        <f t="shared" si="9"/>
      </c>
      <c r="AH69" s="553">
        <f t="shared" si="9"/>
      </c>
      <c r="AI69" s="553">
        <f t="shared" si="9"/>
      </c>
      <c r="AJ69" s="553">
        <f t="shared" si="9"/>
      </c>
      <c r="AK69" s="553">
        <f t="shared" si="9"/>
      </c>
      <c r="AL69" s="553">
        <f t="shared" si="9"/>
      </c>
      <c r="AM69" s="553">
        <f t="shared" si="9"/>
      </c>
      <c r="AN69" s="553">
        <f t="shared" si="9"/>
      </c>
      <c r="AO69" s="553">
        <f t="shared" si="9"/>
      </c>
      <c r="AP69" s="553">
        <f t="shared" si="9"/>
      </c>
      <c r="AQ69" s="553">
        <f t="shared" si="9"/>
      </c>
      <c r="AR69" s="553">
        <f t="shared" si="9"/>
      </c>
      <c r="AS69" s="553">
        <f t="shared" si="9"/>
      </c>
      <c r="AT69" s="553">
        <f t="shared" si="9"/>
      </c>
      <c r="AU69" s="553">
        <f t="shared" si="9"/>
      </c>
      <c r="AV69" s="553">
        <f t="shared" si="9"/>
      </c>
      <c r="AW69" s="553">
        <f t="shared" si="9"/>
      </c>
      <c r="AX69" s="553">
        <f t="shared" si="9"/>
      </c>
      <c r="AY69" s="553">
        <f t="shared" si="9"/>
      </c>
      <c r="AZ69" s="553">
        <f t="shared" si="9"/>
      </c>
      <c r="BA69" s="553">
        <f t="shared" si="9"/>
      </c>
      <c r="BB69" s="553">
        <f t="shared" si="9"/>
      </c>
      <c r="BC69" s="553">
        <f t="shared" si="9"/>
      </c>
      <c r="BD69" s="553">
        <f t="shared" si="9"/>
      </c>
      <c r="BE69" s="553">
        <f t="shared" si="9"/>
      </c>
      <c r="BF69" s="364"/>
    </row>
    <row r="70" spans="2:58" s="503" customFormat="1" ht="15">
      <c r="B70" s="362"/>
      <c r="C70" s="549">
        <f>+IF(S$51&lt;=$G$47,S$51,"")</f>
      </c>
      <c r="D70" s="550"/>
      <c r="E70" s="551"/>
      <c r="F70" s="552"/>
      <c r="G70" s="554"/>
      <c r="H70" s="555"/>
      <c r="I70" s="555"/>
      <c r="J70" s="555"/>
      <c r="K70" s="555"/>
      <c r="L70" s="555"/>
      <c r="M70" s="555"/>
      <c r="N70" s="555"/>
      <c r="O70" s="555"/>
      <c r="P70" s="555"/>
      <c r="Q70" s="555"/>
      <c r="R70" s="555"/>
      <c r="S70" s="553"/>
      <c r="T70" s="553">
        <f t="shared" si="9"/>
      </c>
      <c r="U70" s="553">
        <f t="shared" si="9"/>
      </c>
      <c r="V70" s="553">
        <f t="shared" si="9"/>
      </c>
      <c r="W70" s="553">
        <f t="shared" si="9"/>
      </c>
      <c r="X70" s="553">
        <f t="shared" si="9"/>
      </c>
      <c r="Y70" s="553">
        <f t="shared" si="9"/>
      </c>
      <c r="Z70" s="553">
        <f t="shared" si="9"/>
      </c>
      <c r="AA70" s="553">
        <f t="shared" si="9"/>
      </c>
      <c r="AB70" s="553">
        <f t="shared" si="9"/>
      </c>
      <c r="AC70" s="553">
        <f t="shared" si="9"/>
      </c>
      <c r="AD70" s="553">
        <f t="shared" si="9"/>
      </c>
      <c r="AE70" s="553">
        <f t="shared" si="9"/>
      </c>
      <c r="AF70" s="553">
        <f t="shared" si="9"/>
      </c>
      <c r="AG70" s="553">
        <f t="shared" si="9"/>
      </c>
      <c r="AH70" s="553">
        <f t="shared" si="9"/>
      </c>
      <c r="AI70" s="553">
        <f t="shared" si="9"/>
      </c>
      <c r="AJ70" s="553">
        <f t="shared" si="9"/>
      </c>
      <c r="AK70" s="553">
        <f t="shared" si="9"/>
      </c>
      <c r="AL70" s="553">
        <f t="shared" si="9"/>
      </c>
      <c r="AM70" s="553">
        <f t="shared" si="9"/>
      </c>
      <c r="AN70" s="553">
        <f t="shared" si="9"/>
      </c>
      <c r="AO70" s="553">
        <f t="shared" si="9"/>
      </c>
      <c r="AP70" s="553">
        <f t="shared" si="9"/>
      </c>
      <c r="AQ70" s="553">
        <f t="shared" si="9"/>
      </c>
      <c r="AR70" s="553">
        <f t="shared" si="9"/>
      </c>
      <c r="AS70" s="553">
        <f t="shared" si="9"/>
      </c>
      <c r="AT70" s="553">
        <f t="shared" si="9"/>
      </c>
      <c r="AU70" s="553">
        <f t="shared" si="9"/>
      </c>
      <c r="AV70" s="553">
        <f t="shared" si="9"/>
      </c>
      <c r="AW70" s="553">
        <f t="shared" si="9"/>
      </c>
      <c r="AX70" s="553">
        <f t="shared" si="9"/>
      </c>
      <c r="AY70" s="553">
        <f t="shared" si="9"/>
      </c>
      <c r="AZ70" s="553">
        <f t="shared" si="9"/>
      </c>
      <c r="BA70" s="553">
        <f t="shared" si="9"/>
      </c>
      <c r="BB70" s="553">
        <f t="shared" si="9"/>
      </c>
      <c r="BC70" s="553">
        <f t="shared" si="9"/>
      </c>
      <c r="BD70" s="553">
        <f t="shared" si="9"/>
      </c>
      <c r="BE70" s="553">
        <f t="shared" si="9"/>
      </c>
      <c r="BF70" s="364"/>
    </row>
    <row r="71" spans="2:58" s="503" customFormat="1" ht="15">
      <c r="B71" s="362"/>
      <c r="C71" s="549">
        <f>+IF(T$51&lt;=$G$47,T$51,"")</f>
      </c>
      <c r="D71" s="550"/>
      <c r="E71" s="551"/>
      <c r="F71" s="552"/>
      <c r="G71" s="554"/>
      <c r="H71" s="555"/>
      <c r="I71" s="555"/>
      <c r="J71" s="555"/>
      <c r="K71" s="555"/>
      <c r="L71" s="555"/>
      <c r="M71" s="555"/>
      <c r="N71" s="555"/>
      <c r="O71" s="555"/>
      <c r="P71" s="555"/>
      <c r="Q71" s="555"/>
      <c r="R71" s="555"/>
      <c r="S71" s="555"/>
      <c r="T71" s="553"/>
      <c r="U71" s="553">
        <f t="shared" si="9"/>
      </c>
      <c r="V71" s="553">
        <f t="shared" si="9"/>
      </c>
      <c r="W71" s="553">
        <f t="shared" si="9"/>
      </c>
      <c r="X71" s="553">
        <f t="shared" si="9"/>
      </c>
      <c r="Y71" s="553">
        <f t="shared" si="9"/>
      </c>
      <c r="Z71" s="553">
        <f t="shared" si="9"/>
      </c>
      <c r="AA71" s="553">
        <f t="shared" si="9"/>
      </c>
      <c r="AB71" s="553">
        <f t="shared" si="9"/>
      </c>
      <c r="AC71" s="553">
        <f t="shared" si="9"/>
      </c>
      <c r="AD71" s="553">
        <f t="shared" si="9"/>
      </c>
      <c r="AE71" s="553">
        <f t="shared" si="9"/>
      </c>
      <c r="AF71" s="553">
        <f t="shared" si="9"/>
      </c>
      <c r="AG71" s="553">
        <f aca="true" t="shared" si="10" ref="AG71:BE71">IF(ISERROR($F71*$E71*EXP(-$F71*(AG$51-$C71))*$D71),"",$F71*$E71*EXP(-$F71*(AG$51-$C71))*$D71)</f>
      </c>
      <c r="AH71" s="553">
        <f t="shared" si="10"/>
      </c>
      <c r="AI71" s="553">
        <f t="shared" si="10"/>
      </c>
      <c r="AJ71" s="553">
        <f t="shared" si="10"/>
      </c>
      <c r="AK71" s="553">
        <f t="shared" si="10"/>
      </c>
      <c r="AL71" s="553">
        <f t="shared" si="10"/>
      </c>
      <c r="AM71" s="553">
        <f t="shared" si="10"/>
      </c>
      <c r="AN71" s="553">
        <f t="shared" si="10"/>
      </c>
      <c r="AO71" s="553">
        <f t="shared" si="10"/>
      </c>
      <c r="AP71" s="553">
        <f t="shared" si="10"/>
      </c>
      <c r="AQ71" s="553">
        <f t="shared" si="10"/>
      </c>
      <c r="AR71" s="553">
        <f t="shared" si="10"/>
      </c>
      <c r="AS71" s="553">
        <f t="shared" si="10"/>
      </c>
      <c r="AT71" s="553">
        <f t="shared" si="10"/>
      </c>
      <c r="AU71" s="553">
        <f t="shared" si="10"/>
      </c>
      <c r="AV71" s="553">
        <f t="shared" si="10"/>
      </c>
      <c r="AW71" s="553">
        <f t="shared" si="10"/>
      </c>
      <c r="AX71" s="553">
        <f t="shared" si="10"/>
      </c>
      <c r="AY71" s="553">
        <f t="shared" si="10"/>
      </c>
      <c r="AZ71" s="553">
        <f t="shared" si="10"/>
      </c>
      <c r="BA71" s="553">
        <f t="shared" si="10"/>
      </c>
      <c r="BB71" s="553">
        <f t="shared" si="10"/>
      </c>
      <c r="BC71" s="553">
        <f t="shared" si="10"/>
      </c>
      <c r="BD71" s="553">
        <f t="shared" si="10"/>
      </c>
      <c r="BE71" s="553">
        <f t="shared" si="10"/>
      </c>
      <c r="BF71" s="364"/>
    </row>
    <row r="72" spans="2:58" s="503" customFormat="1" ht="15">
      <c r="B72" s="362"/>
      <c r="C72" s="549">
        <f>+IF(U$51&lt;=$G$47,U$51,"")</f>
      </c>
      <c r="D72" s="550"/>
      <c r="E72" s="551"/>
      <c r="F72" s="552"/>
      <c r="G72" s="554"/>
      <c r="H72" s="555"/>
      <c r="I72" s="555"/>
      <c r="J72" s="555"/>
      <c r="K72" s="555"/>
      <c r="L72" s="555"/>
      <c r="M72" s="555"/>
      <c r="N72" s="555"/>
      <c r="O72" s="555"/>
      <c r="P72" s="555"/>
      <c r="Q72" s="555"/>
      <c r="R72" s="555"/>
      <c r="S72" s="555"/>
      <c r="T72" s="555"/>
      <c r="U72" s="553"/>
      <c r="V72" s="553">
        <f aca="true" t="shared" si="11" ref="V72:BE79">IF(ISERROR($F72*$E72*EXP(-$F72*(V$51-$C72))*$D72),"",$F72*$E72*EXP(-$F72*(V$51-$C72))*$D72)</f>
      </c>
      <c r="W72" s="553">
        <f t="shared" si="11"/>
      </c>
      <c r="X72" s="553">
        <f t="shared" si="11"/>
      </c>
      <c r="Y72" s="553">
        <f t="shared" si="11"/>
      </c>
      <c r="Z72" s="553">
        <f t="shared" si="11"/>
      </c>
      <c r="AA72" s="553">
        <f t="shared" si="11"/>
      </c>
      <c r="AB72" s="553">
        <f t="shared" si="11"/>
      </c>
      <c r="AC72" s="553">
        <f t="shared" si="11"/>
      </c>
      <c r="AD72" s="553">
        <f t="shared" si="11"/>
      </c>
      <c r="AE72" s="553">
        <f t="shared" si="11"/>
      </c>
      <c r="AF72" s="553">
        <f t="shared" si="11"/>
      </c>
      <c r="AG72" s="553">
        <f t="shared" si="11"/>
      </c>
      <c r="AH72" s="553">
        <f t="shared" si="11"/>
      </c>
      <c r="AI72" s="553">
        <f t="shared" si="11"/>
      </c>
      <c r="AJ72" s="553">
        <f t="shared" si="11"/>
      </c>
      <c r="AK72" s="553">
        <f t="shared" si="11"/>
      </c>
      <c r="AL72" s="553">
        <f t="shared" si="11"/>
      </c>
      <c r="AM72" s="553">
        <f t="shared" si="11"/>
      </c>
      <c r="AN72" s="553">
        <f t="shared" si="11"/>
      </c>
      <c r="AO72" s="553">
        <f t="shared" si="11"/>
      </c>
      <c r="AP72" s="553">
        <f t="shared" si="11"/>
      </c>
      <c r="AQ72" s="553">
        <f t="shared" si="11"/>
      </c>
      <c r="AR72" s="553">
        <f t="shared" si="11"/>
      </c>
      <c r="AS72" s="553">
        <f t="shared" si="11"/>
      </c>
      <c r="AT72" s="553">
        <f t="shared" si="11"/>
      </c>
      <c r="AU72" s="553">
        <f t="shared" si="11"/>
      </c>
      <c r="AV72" s="553">
        <f t="shared" si="11"/>
      </c>
      <c r="AW72" s="553">
        <f t="shared" si="11"/>
      </c>
      <c r="AX72" s="553">
        <f t="shared" si="11"/>
      </c>
      <c r="AY72" s="553">
        <f t="shared" si="11"/>
      </c>
      <c r="AZ72" s="553">
        <f t="shared" si="11"/>
      </c>
      <c r="BA72" s="553">
        <f t="shared" si="11"/>
      </c>
      <c r="BB72" s="553">
        <f t="shared" si="11"/>
      </c>
      <c r="BC72" s="553">
        <f t="shared" si="11"/>
      </c>
      <c r="BD72" s="553">
        <f t="shared" si="11"/>
      </c>
      <c r="BE72" s="553">
        <f t="shared" si="11"/>
      </c>
      <c r="BF72" s="364"/>
    </row>
    <row r="73" spans="2:58" s="503" customFormat="1" ht="15">
      <c r="B73" s="362"/>
      <c r="C73" s="549">
        <f>+IF(V$51&lt;=$G$47,V$51,"")</f>
      </c>
      <c r="D73" s="550"/>
      <c r="E73" s="551"/>
      <c r="F73" s="552"/>
      <c r="G73" s="554"/>
      <c r="H73" s="555"/>
      <c r="I73" s="555"/>
      <c r="J73" s="555"/>
      <c r="K73" s="555"/>
      <c r="L73" s="555"/>
      <c r="M73" s="555"/>
      <c r="N73" s="555"/>
      <c r="O73" s="555"/>
      <c r="P73" s="555"/>
      <c r="Q73" s="555"/>
      <c r="R73" s="555"/>
      <c r="S73" s="555"/>
      <c r="T73" s="555"/>
      <c r="U73" s="555"/>
      <c r="V73" s="553"/>
      <c r="W73" s="553">
        <f t="shared" si="11"/>
      </c>
      <c r="X73" s="553">
        <f t="shared" si="11"/>
      </c>
      <c r="Y73" s="553">
        <f t="shared" si="11"/>
      </c>
      <c r="Z73" s="553">
        <f t="shared" si="11"/>
      </c>
      <c r="AA73" s="553">
        <f t="shared" si="11"/>
      </c>
      <c r="AB73" s="553">
        <f t="shared" si="11"/>
      </c>
      <c r="AC73" s="553">
        <f t="shared" si="11"/>
      </c>
      <c r="AD73" s="553">
        <f t="shared" si="11"/>
      </c>
      <c r="AE73" s="553">
        <f t="shared" si="11"/>
      </c>
      <c r="AF73" s="553">
        <f t="shared" si="11"/>
      </c>
      <c r="AG73" s="553">
        <f t="shared" si="11"/>
      </c>
      <c r="AH73" s="553">
        <f t="shared" si="11"/>
      </c>
      <c r="AI73" s="553">
        <f t="shared" si="11"/>
      </c>
      <c r="AJ73" s="553">
        <f t="shared" si="11"/>
      </c>
      <c r="AK73" s="553">
        <f t="shared" si="11"/>
      </c>
      <c r="AL73" s="553">
        <f t="shared" si="11"/>
      </c>
      <c r="AM73" s="553">
        <f t="shared" si="11"/>
      </c>
      <c r="AN73" s="553">
        <f t="shared" si="11"/>
      </c>
      <c r="AO73" s="553">
        <f t="shared" si="11"/>
      </c>
      <c r="AP73" s="553">
        <f t="shared" si="11"/>
      </c>
      <c r="AQ73" s="553">
        <f t="shared" si="11"/>
      </c>
      <c r="AR73" s="553">
        <f t="shared" si="11"/>
      </c>
      <c r="AS73" s="553">
        <f t="shared" si="11"/>
      </c>
      <c r="AT73" s="553">
        <f t="shared" si="11"/>
      </c>
      <c r="AU73" s="553">
        <f t="shared" si="11"/>
      </c>
      <c r="AV73" s="553">
        <f t="shared" si="11"/>
      </c>
      <c r="AW73" s="553">
        <f t="shared" si="11"/>
      </c>
      <c r="AX73" s="553">
        <f t="shared" si="11"/>
      </c>
      <c r="AY73" s="553">
        <f t="shared" si="11"/>
      </c>
      <c r="AZ73" s="553">
        <f t="shared" si="11"/>
      </c>
      <c r="BA73" s="553">
        <f t="shared" si="11"/>
      </c>
      <c r="BB73" s="553">
        <f t="shared" si="11"/>
      </c>
      <c r="BC73" s="553">
        <f t="shared" si="11"/>
      </c>
      <c r="BD73" s="553">
        <f t="shared" si="11"/>
      </c>
      <c r="BE73" s="553">
        <f t="shared" si="11"/>
      </c>
      <c r="BF73" s="364"/>
    </row>
    <row r="74" spans="2:58" s="503" customFormat="1" ht="15">
      <c r="B74" s="362"/>
      <c r="C74" s="549">
        <f>+IF(W$51&lt;=$G$47,W$51,"")</f>
      </c>
      <c r="D74" s="550"/>
      <c r="E74" s="551"/>
      <c r="F74" s="552"/>
      <c r="G74" s="554"/>
      <c r="H74" s="555"/>
      <c r="I74" s="555"/>
      <c r="J74" s="555"/>
      <c r="K74" s="555"/>
      <c r="L74" s="555"/>
      <c r="M74" s="555"/>
      <c r="N74" s="555"/>
      <c r="O74" s="555"/>
      <c r="P74" s="555"/>
      <c r="Q74" s="555"/>
      <c r="R74" s="555"/>
      <c r="S74" s="555"/>
      <c r="T74" s="555"/>
      <c r="U74" s="555"/>
      <c r="V74" s="555"/>
      <c r="W74" s="553"/>
      <c r="X74" s="553">
        <f t="shared" si="11"/>
      </c>
      <c r="Y74" s="553">
        <f t="shared" si="11"/>
      </c>
      <c r="Z74" s="553">
        <f t="shared" si="11"/>
      </c>
      <c r="AA74" s="553">
        <f t="shared" si="11"/>
      </c>
      <c r="AB74" s="553">
        <f t="shared" si="11"/>
      </c>
      <c r="AC74" s="553">
        <f t="shared" si="11"/>
      </c>
      <c r="AD74" s="553">
        <f t="shared" si="11"/>
      </c>
      <c r="AE74" s="553">
        <f t="shared" si="11"/>
      </c>
      <c r="AF74" s="553">
        <f t="shared" si="11"/>
      </c>
      <c r="AG74" s="553">
        <f t="shared" si="11"/>
      </c>
      <c r="AH74" s="553">
        <f t="shared" si="11"/>
      </c>
      <c r="AI74" s="553">
        <f t="shared" si="11"/>
      </c>
      <c r="AJ74" s="553">
        <f t="shared" si="11"/>
      </c>
      <c r="AK74" s="553">
        <f t="shared" si="11"/>
      </c>
      <c r="AL74" s="553">
        <f t="shared" si="11"/>
      </c>
      <c r="AM74" s="553">
        <f t="shared" si="11"/>
      </c>
      <c r="AN74" s="553">
        <f t="shared" si="11"/>
      </c>
      <c r="AO74" s="553">
        <f t="shared" si="11"/>
      </c>
      <c r="AP74" s="553">
        <f t="shared" si="11"/>
      </c>
      <c r="AQ74" s="553">
        <f t="shared" si="11"/>
      </c>
      <c r="AR74" s="553">
        <f t="shared" si="11"/>
      </c>
      <c r="AS74" s="553">
        <f t="shared" si="11"/>
      </c>
      <c r="AT74" s="553">
        <f t="shared" si="11"/>
      </c>
      <c r="AU74" s="553">
        <f t="shared" si="11"/>
      </c>
      <c r="AV74" s="553">
        <f t="shared" si="11"/>
      </c>
      <c r="AW74" s="553">
        <f t="shared" si="11"/>
      </c>
      <c r="AX74" s="553">
        <f t="shared" si="11"/>
      </c>
      <c r="AY74" s="553">
        <f t="shared" si="11"/>
      </c>
      <c r="AZ74" s="553">
        <f t="shared" si="11"/>
      </c>
      <c r="BA74" s="553">
        <f t="shared" si="11"/>
      </c>
      <c r="BB74" s="553">
        <f t="shared" si="11"/>
      </c>
      <c r="BC74" s="553">
        <f t="shared" si="11"/>
      </c>
      <c r="BD74" s="553">
        <f t="shared" si="11"/>
      </c>
      <c r="BE74" s="553">
        <f t="shared" si="11"/>
      </c>
      <c r="BF74" s="364"/>
    </row>
    <row r="75" spans="2:58" s="503" customFormat="1" ht="15">
      <c r="B75" s="362"/>
      <c r="C75" s="549">
        <f>+IF(X$51&lt;=$G$47,X$51,"")</f>
      </c>
      <c r="D75" s="550"/>
      <c r="E75" s="551"/>
      <c r="F75" s="552"/>
      <c r="G75" s="554"/>
      <c r="H75" s="555"/>
      <c r="I75" s="555"/>
      <c r="J75" s="555"/>
      <c r="K75" s="555"/>
      <c r="L75" s="555"/>
      <c r="M75" s="555"/>
      <c r="N75" s="555"/>
      <c r="O75" s="555"/>
      <c r="P75" s="555"/>
      <c r="Q75" s="555"/>
      <c r="R75" s="555"/>
      <c r="S75" s="555"/>
      <c r="T75" s="555"/>
      <c r="U75" s="555"/>
      <c r="V75" s="555"/>
      <c r="W75" s="555"/>
      <c r="X75" s="553"/>
      <c r="Y75" s="553">
        <f t="shared" si="11"/>
      </c>
      <c r="Z75" s="553">
        <f t="shared" si="11"/>
      </c>
      <c r="AA75" s="553">
        <f t="shared" si="11"/>
      </c>
      <c r="AB75" s="553">
        <f t="shared" si="11"/>
      </c>
      <c r="AC75" s="553">
        <f t="shared" si="11"/>
      </c>
      <c r="AD75" s="553">
        <f t="shared" si="11"/>
      </c>
      <c r="AE75" s="553">
        <f t="shared" si="11"/>
      </c>
      <c r="AF75" s="553">
        <f t="shared" si="11"/>
      </c>
      <c r="AG75" s="553">
        <f t="shared" si="11"/>
      </c>
      <c r="AH75" s="553">
        <f t="shared" si="11"/>
      </c>
      <c r="AI75" s="553">
        <f t="shared" si="11"/>
      </c>
      <c r="AJ75" s="553">
        <f t="shared" si="11"/>
      </c>
      <c r="AK75" s="553">
        <f t="shared" si="11"/>
      </c>
      <c r="AL75" s="553">
        <f t="shared" si="11"/>
      </c>
      <c r="AM75" s="553">
        <f t="shared" si="11"/>
      </c>
      <c r="AN75" s="553">
        <f t="shared" si="11"/>
      </c>
      <c r="AO75" s="553">
        <f t="shared" si="11"/>
      </c>
      <c r="AP75" s="553">
        <f t="shared" si="11"/>
      </c>
      <c r="AQ75" s="553">
        <f t="shared" si="11"/>
      </c>
      <c r="AR75" s="553">
        <f t="shared" si="11"/>
      </c>
      <c r="AS75" s="553">
        <f t="shared" si="11"/>
      </c>
      <c r="AT75" s="553">
        <f t="shared" si="11"/>
      </c>
      <c r="AU75" s="553">
        <f t="shared" si="11"/>
      </c>
      <c r="AV75" s="553">
        <f t="shared" si="11"/>
      </c>
      <c r="AW75" s="553">
        <f t="shared" si="11"/>
      </c>
      <c r="AX75" s="553">
        <f t="shared" si="11"/>
      </c>
      <c r="AY75" s="553">
        <f t="shared" si="11"/>
      </c>
      <c r="AZ75" s="553">
        <f t="shared" si="11"/>
      </c>
      <c r="BA75" s="553">
        <f t="shared" si="11"/>
      </c>
      <c r="BB75" s="553">
        <f t="shared" si="11"/>
      </c>
      <c r="BC75" s="553">
        <f t="shared" si="11"/>
      </c>
      <c r="BD75" s="553">
        <f t="shared" si="11"/>
      </c>
      <c r="BE75" s="553">
        <f t="shared" si="11"/>
      </c>
      <c r="BF75" s="364"/>
    </row>
    <row r="76" spans="2:58" s="503" customFormat="1" ht="15">
      <c r="B76" s="362"/>
      <c r="C76" s="549">
        <f>+IF(Y$51&lt;=$G$47,Y$51,"")</f>
      </c>
      <c r="D76" s="550"/>
      <c r="E76" s="551"/>
      <c r="F76" s="552"/>
      <c r="G76" s="554"/>
      <c r="H76" s="555"/>
      <c r="I76" s="555"/>
      <c r="J76" s="555"/>
      <c r="K76" s="555"/>
      <c r="L76" s="555"/>
      <c r="M76" s="555"/>
      <c r="N76" s="555"/>
      <c r="O76" s="555"/>
      <c r="P76" s="555"/>
      <c r="Q76" s="555"/>
      <c r="R76" s="555"/>
      <c r="S76" s="555"/>
      <c r="T76" s="555"/>
      <c r="U76" s="555"/>
      <c r="V76" s="555"/>
      <c r="W76" s="555"/>
      <c r="X76" s="555"/>
      <c r="Y76" s="553"/>
      <c r="Z76" s="553">
        <f t="shared" si="11"/>
      </c>
      <c r="AA76" s="553">
        <f t="shared" si="11"/>
      </c>
      <c r="AB76" s="553">
        <f t="shared" si="11"/>
      </c>
      <c r="AC76" s="553">
        <f t="shared" si="11"/>
      </c>
      <c r="AD76" s="553">
        <f t="shared" si="11"/>
      </c>
      <c r="AE76" s="553">
        <f t="shared" si="11"/>
      </c>
      <c r="AF76" s="553">
        <f t="shared" si="11"/>
      </c>
      <c r="AG76" s="553">
        <f t="shared" si="11"/>
      </c>
      <c r="AH76" s="553">
        <f t="shared" si="11"/>
      </c>
      <c r="AI76" s="553">
        <f t="shared" si="11"/>
      </c>
      <c r="AJ76" s="553">
        <f t="shared" si="11"/>
      </c>
      <c r="AK76" s="553">
        <f t="shared" si="11"/>
      </c>
      <c r="AL76" s="553">
        <f t="shared" si="11"/>
      </c>
      <c r="AM76" s="553">
        <f t="shared" si="11"/>
      </c>
      <c r="AN76" s="553">
        <f t="shared" si="11"/>
      </c>
      <c r="AO76" s="553">
        <f t="shared" si="11"/>
      </c>
      <c r="AP76" s="553">
        <f t="shared" si="11"/>
      </c>
      <c r="AQ76" s="553">
        <f t="shared" si="11"/>
      </c>
      <c r="AR76" s="553">
        <f t="shared" si="11"/>
      </c>
      <c r="AS76" s="553">
        <f t="shared" si="11"/>
      </c>
      <c r="AT76" s="553">
        <f t="shared" si="11"/>
      </c>
      <c r="AU76" s="553">
        <f t="shared" si="11"/>
      </c>
      <c r="AV76" s="553">
        <f t="shared" si="11"/>
      </c>
      <c r="AW76" s="553">
        <f t="shared" si="11"/>
      </c>
      <c r="AX76" s="553">
        <f t="shared" si="11"/>
      </c>
      <c r="AY76" s="553">
        <f t="shared" si="11"/>
      </c>
      <c r="AZ76" s="553">
        <f t="shared" si="11"/>
      </c>
      <c r="BA76" s="553">
        <f t="shared" si="11"/>
      </c>
      <c r="BB76" s="553">
        <f t="shared" si="11"/>
      </c>
      <c r="BC76" s="553">
        <f t="shared" si="11"/>
      </c>
      <c r="BD76" s="553">
        <f t="shared" si="11"/>
      </c>
      <c r="BE76" s="553">
        <f t="shared" si="11"/>
      </c>
      <c r="BF76" s="364"/>
    </row>
    <row r="77" spans="2:58" s="503" customFormat="1" ht="15">
      <c r="B77" s="362"/>
      <c r="C77" s="549">
        <f>+IF(Z$51&lt;=$G$47,Z$51,"")</f>
      </c>
      <c r="D77" s="550"/>
      <c r="E77" s="551"/>
      <c r="F77" s="552"/>
      <c r="G77" s="554"/>
      <c r="H77" s="555"/>
      <c r="I77" s="555"/>
      <c r="J77" s="555"/>
      <c r="K77" s="555"/>
      <c r="L77" s="555"/>
      <c r="M77" s="555"/>
      <c r="N77" s="555"/>
      <c r="O77" s="555"/>
      <c r="P77" s="555"/>
      <c r="Q77" s="555"/>
      <c r="R77" s="555"/>
      <c r="S77" s="555"/>
      <c r="T77" s="555"/>
      <c r="U77" s="555"/>
      <c r="V77" s="555"/>
      <c r="W77" s="555"/>
      <c r="X77" s="555"/>
      <c r="Y77" s="555"/>
      <c r="Z77" s="553"/>
      <c r="AA77" s="553">
        <f t="shared" si="11"/>
      </c>
      <c r="AB77" s="553">
        <f t="shared" si="11"/>
      </c>
      <c r="AC77" s="553">
        <f t="shared" si="11"/>
      </c>
      <c r="AD77" s="553">
        <f t="shared" si="11"/>
      </c>
      <c r="AE77" s="553">
        <f t="shared" si="11"/>
      </c>
      <c r="AF77" s="553">
        <f t="shared" si="11"/>
      </c>
      <c r="AG77" s="553">
        <f t="shared" si="11"/>
      </c>
      <c r="AH77" s="553">
        <f t="shared" si="11"/>
      </c>
      <c r="AI77" s="553">
        <f t="shared" si="11"/>
      </c>
      <c r="AJ77" s="553">
        <f t="shared" si="11"/>
      </c>
      <c r="AK77" s="553">
        <f t="shared" si="11"/>
      </c>
      <c r="AL77" s="553">
        <f t="shared" si="11"/>
      </c>
      <c r="AM77" s="553">
        <f t="shared" si="11"/>
      </c>
      <c r="AN77" s="553">
        <f t="shared" si="11"/>
      </c>
      <c r="AO77" s="553">
        <f t="shared" si="11"/>
      </c>
      <c r="AP77" s="553">
        <f t="shared" si="11"/>
      </c>
      <c r="AQ77" s="553">
        <f t="shared" si="11"/>
      </c>
      <c r="AR77" s="553">
        <f t="shared" si="11"/>
      </c>
      <c r="AS77" s="553">
        <f t="shared" si="11"/>
      </c>
      <c r="AT77" s="553">
        <f t="shared" si="11"/>
      </c>
      <c r="AU77" s="553">
        <f t="shared" si="11"/>
      </c>
      <c r="AV77" s="553">
        <f t="shared" si="11"/>
      </c>
      <c r="AW77" s="553">
        <f t="shared" si="11"/>
      </c>
      <c r="AX77" s="553">
        <f t="shared" si="11"/>
      </c>
      <c r="AY77" s="553">
        <f t="shared" si="11"/>
      </c>
      <c r="AZ77" s="553">
        <f t="shared" si="11"/>
      </c>
      <c r="BA77" s="553">
        <f t="shared" si="11"/>
      </c>
      <c r="BB77" s="553">
        <f t="shared" si="11"/>
      </c>
      <c r="BC77" s="553">
        <f t="shared" si="11"/>
      </c>
      <c r="BD77" s="553">
        <f t="shared" si="11"/>
      </c>
      <c r="BE77" s="553">
        <f t="shared" si="11"/>
      </c>
      <c r="BF77" s="364"/>
    </row>
    <row r="78" spans="2:58" s="503" customFormat="1" ht="15">
      <c r="B78" s="362"/>
      <c r="C78" s="549">
        <f>+IF(AA$51&lt;=$G$47,AA$51,"")</f>
      </c>
      <c r="D78" s="550"/>
      <c r="E78" s="551"/>
      <c r="F78" s="552"/>
      <c r="G78" s="554"/>
      <c r="H78" s="555"/>
      <c r="I78" s="555"/>
      <c r="J78" s="555"/>
      <c r="K78" s="555"/>
      <c r="L78" s="555"/>
      <c r="M78" s="555"/>
      <c r="N78" s="555"/>
      <c r="O78" s="555"/>
      <c r="P78" s="555"/>
      <c r="Q78" s="555"/>
      <c r="R78" s="555"/>
      <c r="S78" s="555"/>
      <c r="T78" s="555"/>
      <c r="U78" s="555"/>
      <c r="V78" s="555"/>
      <c r="W78" s="555"/>
      <c r="X78" s="555"/>
      <c r="Y78" s="555"/>
      <c r="Z78" s="555"/>
      <c r="AA78" s="553"/>
      <c r="AB78" s="553">
        <f t="shared" si="11"/>
      </c>
      <c r="AC78" s="553">
        <f t="shared" si="11"/>
      </c>
      <c r="AD78" s="553">
        <f t="shared" si="11"/>
      </c>
      <c r="AE78" s="553">
        <f t="shared" si="11"/>
      </c>
      <c r="AF78" s="553">
        <f t="shared" si="11"/>
      </c>
      <c r="AG78" s="553">
        <f t="shared" si="11"/>
      </c>
      <c r="AH78" s="553">
        <f t="shared" si="11"/>
      </c>
      <c r="AI78" s="553">
        <f t="shared" si="11"/>
      </c>
      <c r="AJ78" s="553">
        <f t="shared" si="11"/>
      </c>
      <c r="AK78" s="553">
        <f t="shared" si="11"/>
      </c>
      <c r="AL78" s="553">
        <f t="shared" si="11"/>
      </c>
      <c r="AM78" s="553">
        <f t="shared" si="11"/>
      </c>
      <c r="AN78" s="553">
        <f t="shared" si="11"/>
      </c>
      <c r="AO78" s="553">
        <f t="shared" si="11"/>
      </c>
      <c r="AP78" s="553">
        <f t="shared" si="11"/>
      </c>
      <c r="AQ78" s="553">
        <f t="shared" si="11"/>
      </c>
      <c r="AR78" s="553">
        <f t="shared" si="11"/>
      </c>
      <c r="AS78" s="553">
        <f t="shared" si="11"/>
      </c>
      <c r="AT78" s="553">
        <f t="shared" si="11"/>
      </c>
      <c r="AU78" s="553">
        <f t="shared" si="11"/>
      </c>
      <c r="AV78" s="553">
        <f t="shared" si="11"/>
      </c>
      <c r="AW78" s="553">
        <f t="shared" si="11"/>
      </c>
      <c r="AX78" s="553">
        <f t="shared" si="11"/>
      </c>
      <c r="AY78" s="553">
        <f t="shared" si="11"/>
      </c>
      <c r="AZ78" s="553">
        <f t="shared" si="11"/>
      </c>
      <c r="BA78" s="553">
        <f t="shared" si="11"/>
      </c>
      <c r="BB78" s="553">
        <f t="shared" si="11"/>
      </c>
      <c r="BC78" s="553">
        <f t="shared" si="11"/>
      </c>
      <c r="BD78" s="553">
        <f t="shared" si="11"/>
      </c>
      <c r="BE78" s="553">
        <f t="shared" si="11"/>
      </c>
      <c r="BF78" s="364"/>
    </row>
    <row r="79" spans="2:58" s="503" customFormat="1" ht="15">
      <c r="B79" s="362"/>
      <c r="C79" s="549">
        <f>+IF(AB$51&lt;=$G$47,AB$51,"")</f>
      </c>
      <c r="D79" s="550"/>
      <c r="E79" s="551"/>
      <c r="F79" s="552"/>
      <c r="G79" s="554"/>
      <c r="H79" s="555"/>
      <c r="I79" s="555"/>
      <c r="J79" s="555"/>
      <c r="K79" s="555"/>
      <c r="L79" s="555"/>
      <c r="M79" s="555"/>
      <c r="N79" s="555"/>
      <c r="O79" s="555"/>
      <c r="P79" s="555"/>
      <c r="Q79" s="555"/>
      <c r="R79" s="555"/>
      <c r="S79" s="555"/>
      <c r="T79" s="555"/>
      <c r="U79" s="555"/>
      <c r="V79" s="555"/>
      <c r="W79" s="555"/>
      <c r="X79" s="555"/>
      <c r="Y79" s="555"/>
      <c r="Z79" s="555"/>
      <c r="AA79" s="555"/>
      <c r="AB79" s="553"/>
      <c r="AC79" s="553">
        <f t="shared" si="11"/>
      </c>
      <c r="AD79" s="553">
        <f t="shared" si="11"/>
      </c>
      <c r="AE79" s="553">
        <f t="shared" si="11"/>
      </c>
      <c r="AF79" s="553">
        <f t="shared" si="11"/>
      </c>
      <c r="AG79" s="553">
        <f t="shared" si="11"/>
      </c>
      <c r="AH79" s="553">
        <f t="shared" si="11"/>
      </c>
      <c r="AI79" s="553">
        <f t="shared" si="11"/>
      </c>
      <c r="AJ79" s="553">
        <f t="shared" si="11"/>
      </c>
      <c r="AK79" s="553">
        <f t="shared" si="11"/>
      </c>
      <c r="AL79" s="553">
        <f t="shared" si="11"/>
      </c>
      <c r="AM79" s="553">
        <f t="shared" si="11"/>
      </c>
      <c r="AN79" s="553">
        <f t="shared" si="11"/>
      </c>
      <c r="AO79" s="553">
        <f t="shared" si="11"/>
      </c>
      <c r="AP79" s="553">
        <f t="shared" si="11"/>
      </c>
      <c r="AQ79" s="553">
        <f t="shared" si="11"/>
      </c>
      <c r="AR79" s="553">
        <f t="shared" si="11"/>
      </c>
      <c r="AS79" s="553">
        <f t="shared" si="11"/>
      </c>
      <c r="AT79" s="553">
        <f t="shared" si="11"/>
      </c>
      <c r="AU79" s="553">
        <f t="shared" si="11"/>
      </c>
      <c r="AV79" s="553">
        <f t="shared" si="11"/>
      </c>
      <c r="AW79" s="553">
        <f t="shared" si="11"/>
      </c>
      <c r="AX79" s="553">
        <f t="shared" si="11"/>
      </c>
      <c r="AY79" s="553">
        <f t="shared" si="11"/>
      </c>
      <c r="AZ79" s="553">
        <f t="shared" si="11"/>
      </c>
      <c r="BA79" s="553">
        <f>IF(ISERROR($F79*$E79*EXP(-$F79*(BA$51-$C79))*$D79),"",$F79*$E79*EXP(-$F79*(BA$51-$C79))*$D79)</f>
      </c>
      <c r="BB79" s="553">
        <f>IF(ISERROR($F79*$E79*EXP(-$F79*(BB$51-$C79))*$D79),"",$F79*$E79*EXP(-$F79*(BB$51-$C79))*$D79)</f>
      </c>
      <c r="BC79" s="553">
        <f>IF(ISERROR($F79*$E79*EXP(-$F79*(BC$51-$C79))*$D79),"",$F79*$E79*EXP(-$F79*(BC$51-$C79))*$D79)</f>
      </c>
      <c r="BD79" s="553">
        <f>IF(ISERROR($F79*$E79*EXP(-$F79*(BD$51-$C79))*$D79),"",$F79*$E79*EXP(-$F79*(BD$51-$C79))*$D79)</f>
      </c>
      <c r="BE79" s="553">
        <f>IF(ISERROR($F79*$E79*EXP(-$F79*(BE$51-$C79))*$D79),"",$F79*$E79*EXP(-$F79*(BE$51-$C79))*$D79)</f>
      </c>
      <c r="BF79" s="364"/>
    </row>
    <row r="80" spans="2:58" s="503" customFormat="1" ht="15">
      <c r="B80" s="362"/>
      <c r="C80" s="549">
        <f>+IF(AC$51&lt;=$G$47,AC$51,"")</f>
      </c>
      <c r="D80" s="550"/>
      <c r="E80" s="551"/>
      <c r="F80" s="552"/>
      <c r="G80" s="554"/>
      <c r="H80" s="555"/>
      <c r="I80" s="555"/>
      <c r="J80" s="555"/>
      <c r="K80" s="555"/>
      <c r="L80" s="555"/>
      <c r="M80" s="555"/>
      <c r="N80" s="555"/>
      <c r="O80" s="555"/>
      <c r="P80" s="555"/>
      <c r="Q80" s="555"/>
      <c r="R80" s="555"/>
      <c r="S80" s="555"/>
      <c r="T80" s="555"/>
      <c r="U80" s="555"/>
      <c r="V80" s="555"/>
      <c r="W80" s="555"/>
      <c r="X80" s="555"/>
      <c r="Y80" s="555"/>
      <c r="Z80" s="555"/>
      <c r="AA80" s="555"/>
      <c r="AB80" s="555"/>
      <c r="AC80" s="553"/>
      <c r="AD80" s="553">
        <f aca="true" t="shared" si="12" ref="AD80:BE91">IF(ISERROR($F80*$E80*EXP(-$F80*(AD$51-$C80))*$D80),"",$F80*$E80*EXP(-$F80*(AD$51-$C80))*$D80)</f>
      </c>
      <c r="AE80" s="553">
        <f t="shared" si="12"/>
      </c>
      <c r="AF80" s="553">
        <f t="shared" si="12"/>
      </c>
      <c r="AG80" s="553">
        <f t="shared" si="12"/>
      </c>
      <c r="AH80" s="553">
        <f t="shared" si="12"/>
      </c>
      <c r="AI80" s="553">
        <f t="shared" si="12"/>
      </c>
      <c r="AJ80" s="553">
        <f t="shared" si="12"/>
      </c>
      <c r="AK80" s="553">
        <f t="shared" si="12"/>
      </c>
      <c r="AL80" s="553">
        <f t="shared" si="12"/>
      </c>
      <c r="AM80" s="553">
        <f t="shared" si="12"/>
      </c>
      <c r="AN80" s="553">
        <f t="shared" si="12"/>
      </c>
      <c r="AO80" s="553">
        <f t="shared" si="12"/>
      </c>
      <c r="AP80" s="553">
        <f t="shared" si="12"/>
      </c>
      <c r="AQ80" s="553">
        <f t="shared" si="12"/>
      </c>
      <c r="AR80" s="553">
        <f t="shared" si="12"/>
      </c>
      <c r="AS80" s="553">
        <f t="shared" si="12"/>
      </c>
      <c r="AT80" s="553">
        <f t="shared" si="12"/>
      </c>
      <c r="AU80" s="553">
        <f t="shared" si="12"/>
      </c>
      <c r="AV80" s="553">
        <f t="shared" si="12"/>
      </c>
      <c r="AW80" s="553">
        <f t="shared" si="12"/>
      </c>
      <c r="AX80" s="553">
        <f t="shared" si="12"/>
      </c>
      <c r="AY80" s="553">
        <f t="shared" si="12"/>
      </c>
      <c r="AZ80" s="553">
        <f t="shared" si="12"/>
      </c>
      <c r="BA80" s="553">
        <f t="shared" si="12"/>
      </c>
      <c r="BB80" s="553">
        <f t="shared" si="12"/>
      </c>
      <c r="BC80" s="553">
        <f t="shared" si="12"/>
      </c>
      <c r="BD80" s="553">
        <f t="shared" si="12"/>
      </c>
      <c r="BE80" s="553">
        <f t="shared" si="12"/>
      </c>
      <c r="BF80" s="364"/>
    </row>
    <row r="81" spans="2:58" s="503" customFormat="1" ht="15">
      <c r="B81" s="362"/>
      <c r="C81" s="549">
        <f>+IF(AD$51&lt;=$G$47,AD$51,"")</f>
      </c>
      <c r="D81" s="550"/>
      <c r="E81" s="551"/>
      <c r="F81" s="552"/>
      <c r="G81" s="554"/>
      <c r="H81" s="555"/>
      <c r="I81" s="555"/>
      <c r="J81" s="555"/>
      <c r="K81" s="555"/>
      <c r="L81" s="555"/>
      <c r="M81" s="555"/>
      <c r="N81" s="555"/>
      <c r="O81" s="555"/>
      <c r="P81" s="555"/>
      <c r="Q81" s="555"/>
      <c r="R81" s="555"/>
      <c r="S81" s="555"/>
      <c r="T81" s="555"/>
      <c r="U81" s="555"/>
      <c r="V81" s="555"/>
      <c r="W81" s="555"/>
      <c r="X81" s="555"/>
      <c r="Y81" s="555"/>
      <c r="Z81" s="555"/>
      <c r="AA81" s="555"/>
      <c r="AB81" s="555"/>
      <c r="AC81" s="555"/>
      <c r="AD81" s="553"/>
      <c r="AE81" s="553">
        <f t="shared" si="12"/>
      </c>
      <c r="AF81" s="553">
        <f t="shared" si="12"/>
      </c>
      <c r="AG81" s="553">
        <f t="shared" si="12"/>
      </c>
      <c r="AH81" s="553">
        <f t="shared" si="12"/>
      </c>
      <c r="AI81" s="553">
        <f t="shared" si="12"/>
      </c>
      <c r="AJ81" s="553">
        <f t="shared" si="12"/>
      </c>
      <c r="AK81" s="553">
        <f t="shared" si="12"/>
      </c>
      <c r="AL81" s="553">
        <f t="shared" si="12"/>
      </c>
      <c r="AM81" s="553">
        <f t="shared" si="12"/>
      </c>
      <c r="AN81" s="553">
        <f t="shared" si="12"/>
      </c>
      <c r="AO81" s="553">
        <f t="shared" si="12"/>
      </c>
      <c r="AP81" s="553">
        <f t="shared" si="12"/>
      </c>
      <c r="AQ81" s="553">
        <f t="shared" si="12"/>
      </c>
      <c r="AR81" s="553">
        <f t="shared" si="12"/>
      </c>
      <c r="AS81" s="553">
        <f t="shared" si="12"/>
      </c>
      <c r="AT81" s="553">
        <f t="shared" si="12"/>
      </c>
      <c r="AU81" s="553">
        <f t="shared" si="12"/>
      </c>
      <c r="AV81" s="553">
        <f t="shared" si="12"/>
      </c>
      <c r="AW81" s="553">
        <f t="shared" si="12"/>
      </c>
      <c r="AX81" s="553">
        <f t="shared" si="12"/>
      </c>
      <c r="AY81" s="553">
        <f t="shared" si="12"/>
      </c>
      <c r="AZ81" s="553">
        <f t="shared" si="12"/>
      </c>
      <c r="BA81" s="553">
        <f t="shared" si="12"/>
      </c>
      <c r="BB81" s="553">
        <f t="shared" si="12"/>
      </c>
      <c r="BC81" s="553">
        <f t="shared" si="12"/>
      </c>
      <c r="BD81" s="553">
        <f t="shared" si="12"/>
      </c>
      <c r="BE81" s="553">
        <f t="shared" si="12"/>
      </c>
      <c r="BF81" s="364"/>
    </row>
    <row r="82" spans="2:58" s="503" customFormat="1" ht="15">
      <c r="B82" s="362"/>
      <c r="C82" s="549">
        <f>+IF(AE$51&lt;=$G$47,AE$51,"")</f>
      </c>
      <c r="D82" s="550"/>
      <c r="E82" s="551"/>
      <c r="F82" s="552"/>
      <c r="G82" s="554"/>
      <c r="H82" s="555"/>
      <c r="I82" s="555"/>
      <c r="J82" s="555"/>
      <c r="K82" s="555"/>
      <c r="L82" s="555"/>
      <c r="M82" s="555"/>
      <c r="N82" s="555"/>
      <c r="O82" s="555"/>
      <c r="P82" s="555"/>
      <c r="Q82" s="555"/>
      <c r="R82" s="555"/>
      <c r="S82" s="555"/>
      <c r="T82" s="555"/>
      <c r="U82" s="555"/>
      <c r="V82" s="555"/>
      <c r="W82" s="555"/>
      <c r="X82" s="555"/>
      <c r="Y82" s="555"/>
      <c r="Z82" s="555"/>
      <c r="AA82" s="555"/>
      <c r="AB82" s="555"/>
      <c r="AC82" s="555"/>
      <c r="AD82" s="555"/>
      <c r="AE82" s="553"/>
      <c r="AF82" s="553">
        <f t="shared" si="12"/>
      </c>
      <c r="AG82" s="553">
        <f t="shared" si="12"/>
      </c>
      <c r="AH82" s="553">
        <f t="shared" si="12"/>
      </c>
      <c r="AI82" s="553">
        <f t="shared" si="12"/>
      </c>
      <c r="AJ82" s="553">
        <f t="shared" si="12"/>
      </c>
      <c r="AK82" s="553">
        <f t="shared" si="12"/>
      </c>
      <c r="AL82" s="553">
        <f t="shared" si="12"/>
      </c>
      <c r="AM82" s="553">
        <f t="shared" si="12"/>
      </c>
      <c r="AN82" s="553">
        <f t="shared" si="12"/>
      </c>
      <c r="AO82" s="553">
        <f t="shared" si="12"/>
      </c>
      <c r="AP82" s="553">
        <f t="shared" si="12"/>
      </c>
      <c r="AQ82" s="553">
        <f t="shared" si="12"/>
      </c>
      <c r="AR82" s="553">
        <f t="shared" si="12"/>
      </c>
      <c r="AS82" s="553">
        <f t="shared" si="12"/>
      </c>
      <c r="AT82" s="553">
        <f t="shared" si="12"/>
      </c>
      <c r="AU82" s="553">
        <f t="shared" si="12"/>
      </c>
      <c r="AV82" s="553">
        <f t="shared" si="12"/>
      </c>
      <c r="AW82" s="553">
        <f t="shared" si="12"/>
      </c>
      <c r="AX82" s="553">
        <f t="shared" si="12"/>
      </c>
      <c r="AY82" s="553">
        <f t="shared" si="12"/>
      </c>
      <c r="AZ82" s="553">
        <f t="shared" si="12"/>
      </c>
      <c r="BA82" s="553">
        <f t="shared" si="12"/>
      </c>
      <c r="BB82" s="553">
        <f t="shared" si="12"/>
      </c>
      <c r="BC82" s="553">
        <f t="shared" si="12"/>
      </c>
      <c r="BD82" s="553">
        <f t="shared" si="12"/>
      </c>
      <c r="BE82" s="553">
        <f t="shared" si="12"/>
      </c>
      <c r="BF82" s="364"/>
    </row>
    <row r="83" spans="2:58" s="503" customFormat="1" ht="15">
      <c r="B83" s="362"/>
      <c r="C83" s="549">
        <f>+IF(AF$51&lt;=$G$47,AF$51,"")</f>
      </c>
      <c r="D83" s="550"/>
      <c r="E83" s="551"/>
      <c r="F83" s="552"/>
      <c r="G83" s="554"/>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3"/>
      <c r="AG83" s="553">
        <f t="shared" si="12"/>
      </c>
      <c r="AH83" s="553">
        <f t="shared" si="12"/>
      </c>
      <c r="AI83" s="553">
        <f t="shared" si="12"/>
      </c>
      <c r="AJ83" s="553">
        <f t="shared" si="12"/>
      </c>
      <c r="AK83" s="553">
        <f t="shared" si="12"/>
      </c>
      <c r="AL83" s="553">
        <f t="shared" si="12"/>
      </c>
      <c r="AM83" s="553">
        <f t="shared" si="12"/>
      </c>
      <c r="AN83" s="553">
        <f t="shared" si="12"/>
      </c>
      <c r="AO83" s="553">
        <f t="shared" si="12"/>
      </c>
      <c r="AP83" s="553">
        <f t="shared" si="12"/>
      </c>
      <c r="AQ83" s="553">
        <f t="shared" si="12"/>
      </c>
      <c r="AR83" s="553">
        <f t="shared" si="12"/>
      </c>
      <c r="AS83" s="553">
        <f t="shared" si="12"/>
      </c>
      <c r="AT83" s="553">
        <f t="shared" si="12"/>
      </c>
      <c r="AU83" s="553">
        <f t="shared" si="12"/>
      </c>
      <c r="AV83" s="553">
        <f t="shared" si="12"/>
      </c>
      <c r="AW83" s="553">
        <f t="shared" si="12"/>
      </c>
      <c r="AX83" s="553">
        <f t="shared" si="12"/>
      </c>
      <c r="AY83" s="553">
        <f t="shared" si="12"/>
      </c>
      <c r="AZ83" s="553">
        <f t="shared" si="12"/>
      </c>
      <c r="BA83" s="553">
        <f t="shared" si="12"/>
      </c>
      <c r="BB83" s="553">
        <f t="shared" si="12"/>
      </c>
      <c r="BC83" s="553">
        <f t="shared" si="12"/>
      </c>
      <c r="BD83" s="553">
        <f t="shared" si="12"/>
      </c>
      <c r="BE83" s="553">
        <f t="shared" si="12"/>
      </c>
      <c r="BF83" s="364"/>
    </row>
    <row r="84" spans="2:58" s="503" customFormat="1" ht="15">
      <c r="B84" s="362"/>
      <c r="C84" s="549">
        <f>+IF(AG$51&lt;=$G$47,AG$51,"")</f>
      </c>
      <c r="D84" s="550"/>
      <c r="E84" s="551"/>
      <c r="F84" s="552"/>
      <c r="G84" s="554"/>
      <c r="H84" s="555"/>
      <c r="I84" s="555"/>
      <c r="J84" s="555"/>
      <c r="K84" s="555"/>
      <c r="L84" s="555"/>
      <c r="M84" s="555"/>
      <c r="N84" s="555"/>
      <c r="O84" s="555"/>
      <c r="P84" s="555"/>
      <c r="Q84" s="555"/>
      <c r="R84" s="555"/>
      <c r="S84" s="555"/>
      <c r="T84" s="555"/>
      <c r="U84" s="555"/>
      <c r="V84" s="555"/>
      <c r="W84" s="555"/>
      <c r="X84" s="555"/>
      <c r="Y84" s="555"/>
      <c r="Z84" s="555"/>
      <c r="AA84" s="555"/>
      <c r="AB84" s="555"/>
      <c r="AC84" s="555"/>
      <c r="AD84" s="555"/>
      <c r="AE84" s="555"/>
      <c r="AF84" s="555"/>
      <c r="AG84" s="553"/>
      <c r="AH84" s="553">
        <f t="shared" si="12"/>
      </c>
      <c r="AI84" s="553">
        <f t="shared" si="12"/>
      </c>
      <c r="AJ84" s="553">
        <f t="shared" si="12"/>
      </c>
      <c r="AK84" s="553">
        <f t="shared" si="12"/>
      </c>
      <c r="AL84" s="553">
        <f t="shared" si="12"/>
      </c>
      <c r="AM84" s="553">
        <f t="shared" si="12"/>
      </c>
      <c r="AN84" s="553">
        <f t="shared" si="12"/>
      </c>
      <c r="AO84" s="553">
        <f t="shared" si="12"/>
      </c>
      <c r="AP84" s="553">
        <f t="shared" si="12"/>
      </c>
      <c r="AQ84" s="553">
        <f t="shared" si="12"/>
      </c>
      <c r="AR84" s="553">
        <f t="shared" si="12"/>
      </c>
      <c r="AS84" s="553">
        <f t="shared" si="12"/>
      </c>
      <c r="AT84" s="553">
        <f t="shared" si="12"/>
      </c>
      <c r="AU84" s="553">
        <f t="shared" si="12"/>
      </c>
      <c r="AV84" s="553">
        <f t="shared" si="12"/>
      </c>
      <c r="AW84" s="553">
        <f t="shared" si="12"/>
      </c>
      <c r="AX84" s="553">
        <f t="shared" si="12"/>
      </c>
      <c r="AY84" s="553">
        <f t="shared" si="12"/>
      </c>
      <c r="AZ84" s="553">
        <f t="shared" si="12"/>
      </c>
      <c r="BA84" s="553">
        <f t="shared" si="12"/>
      </c>
      <c r="BB84" s="553">
        <f t="shared" si="12"/>
      </c>
      <c r="BC84" s="553">
        <f t="shared" si="12"/>
      </c>
      <c r="BD84" s="553">
        <f t="shared" si="12"/>
      </c>
      <c r="BE84" s="553">
        <f t="shared" si="12"/>
      </c>
      <c r="BF84" s="364"/>
    </row>
    <row r="85" spans="2:58" s="503" customFormat="1" ht="15">
      <c r="B85" s="362"/>
      <c r="C85" s="549">
        <f>+IF(AH$51&lt;=$G$47,AH$51,"")</f>
      </c>
      <c r="D85" s="550"/>
      <c r="E85" s="551"/>
      <c r="F85" s="552"/>
      <c r="G85" s="554"/>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3"/>
      <c r="AI85" s="553">
        <f t="shared" si="12"/>
      </c>
      <c r="AJ85" s="553">
        <f t="shared" si="12"/>
      </c>
      <c r="AK85" s="553">
        <f t="shared" si="12"/>
      </c>
      <c r="AL85" s="553">
        <f t="shared" si="12"/>
      </c>
      <c r="AM85" s="553">
        <f t="shared" si="12"/>
      </c>
      <c r="AN85" s="553">
        <f t="shared" si="12"/>
      </c>
      <c r="AO85" s="553">
        <f t="shared" si="12"/>
      </c>
      <c r="AP85" s="553">
        <f t="shared" si="12"/>
      </c>
      <c r="AQ85" s="553">
        <f t="shared" si="12"/>
      </c>
      <c r="AR85" s="553">
        <f t="shared" si="12"/>
      </c>
      <c r="AS85" s="553">
        <f t="shared" si="12"/>
      </c>
      <c r="AT85" s="553">
        <f t="shared" si="12"/>
      </c>
      <c r="AU85" s="553">
        <f t="shared" si="12"/>
      </c>
      <c r="AV85" s="553">
        <f t="shared" si="12"/>
      </c>
      <c r="AW85" s="553">
        <f t="shared" si="12"/>
      </c>
      <c r="AX85" s="553">
        <f t="shared" si="12"/>
      </c>
      <c r="AY85" s="553">
        <f t="shared" si="12"/>
      </c>
      <c r="AZ85" s="553">
        <f t="shared" si="12"/>
      </c>
      <c r="BA85" s="553">
        <f t="shared" si="12"/>
      </c>
      <c r="BB85" s="553">
        <f t="shared" si="12"/>
      </c>
      <c r="BC85" s="553">
        <f t="shared" si="12"/>
      </c>
      <c r="BD85" s="553">
        <f t="shared" si="12"/>
      </c>
      <c r="BE85" s="553">
        <f t="shared" si="12"/>
      </c>
      <c r="BF85" s="364"/>
    </row>
    <row r="86" spans="2:58" s="503" customFormat="1" ht="15">
      <c r="B86" s="362"/>
      <c r="C86" s="549">
        <f>+IF(AI$51&lt;=$G$47,AI$51,"")</f>
      </c>
      <c r="D86" s="550"/>
      <c r="E86" s="551"/>
      <c r="F86" s="552"/>
      <c r="G86" s="554"/>
      <c r="H86" s="555"/>
      <c r="I86" s="555"/>
      <c r="J86" s="555"/>
      <c r="K86" s="555"/>
      <c r="L86" s="555"/>
      <c r="M86" s="555"/>
      <c r="N86" s="555"/>
      <c r="O86" s="555"/>
      <c r="P86" s="555"/>
      <c r="Q86" s="555"/>
      <c r="R86" s="555"/>
      <c r="S86" s="555"/>
      <c r="T86" s="555"/>
      <c r="U86" s="555"/>
      <c r="V86" s="555"/>
      <c r="W86" s="555"/>
      <c r="X86" s="555"/>
      <c r="Y86" s="555"/>
      <c r="Z86" s="555"/>
      <c r="AA86" s="555"/>
      <c r="AB86" s="555"/>
      <c r="AC86" s="555"/>
      <c r="AD86" s="555"/>
      <c r="AE86" s="555"/>
      <c r="AF86" s="555"/>
      <c r="AG86" s="555"/>
      <c r="AH86" s="555"/>
      <c r="AI86" s="553"/>
      <c r="AJ86" s="553">
        <f t="shared" si="12"/>
      </c>
      <c r="AK86" s="553">
        <f t="shared" si="12"/>
      </c>
      <c r="AL86" s="553">
        <f t="shared" si="12"/>
      </c>
      <c r="AM86" s="553">
        <f t="shared" si="12"/>
      </c>
      <c r="AN86" s="553">
        <f t="shared" si="12"/>
      </c>
      <c r="AO86" s="553">
        <f t="shared" si="12"/>
      </c>
      <c r="AP86" s="553">
        <f t="shared" si="12"/>
      </c>
      <c r="AQ86" s="553">
        <f t="shared" si="12"/>
      </c>
      <c r="AR86" s="553">
        <f t="shared" si="12"/>
      </c>
      <c r="AS86" s="553">
        <f t="shared" si="12"/>
      </c>
      <c r="AT86" s="553">
        <f t="shared" si="12"/>
      </c>
      <c r="AU86" s="553">
        <f t="shared" si="12"/>
      </c>
      <c r="AV86" s="553">
        <f t="shared" si="12"/>
      </c>
      <c r="AW86" s="553">
        <f t="shared" si="12"/>
      </c>
      <c r="AX86" s="553">
        <f t="shared" si="12"/>
      </c>
      <c r="AY86" s="553">
        <f t="shared" si="12"/>
      </c>
      <c r="AZ86" s="553">
        <f t="shared" si="12"/>
      </c>
      <c r="BA86" s="553">
        <f t="shared" si="12"/>
      </c>
      <c r="BB86" s="553">
        <f t="shared" si="12"/>
      </c>
      <c r="BC86" s="553">
        <f t="shared" si="12"/>
      </c>
      <c r="BD86" s="553">
        <f t="shared" si="12"/>
      </c>
      <c r="BE86" s="553">
        <f t="shared" si="12"/>
      </c>
      <c r="BF86" s="364"/>
    </row>
    <row r="87" spans="2:58" s="506" customFormat="1" ht="18" customHeight="1">
      <c r="B87" s="362"/>
      <c r="C87" s="549">
        <f>+IF(AJ$51&lt;=$G$47,AJ$51,"")</f>
      </c>
      <c r="D87" s="550"/>
      <c r="E87" s="551"/>
      <c r="F87" s="552"/>
      <c r="G87" s="554"/>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5"/>
      <c r="AI87" s="555"/>
      <c r="AJ87" s="553"/>
      <c r="AK87" s="553">
        <f t="shared" si="12"/>
      </c>
      <c r="AL87" s="553">
        <f t="shared" si="12"/>
      </c>
      <c r="AM87" s="553">
        <f t="shared" si="12"/>
      </c>
      <c r="AN87" s="553">
        <f t="shared" si="12"/>
      </c>
      <c r="AO87" s="553">
        <f t="shared" si="12"/>
      </c>
      <c r="AP87" s="553">
        <f t="shared" si="12"/>
      </c>
      <c r="AQ87" s="553">
        <f t="shared" si="12"/>
      </c>
      <c r="AR87" s="553">
        <f t="shared" si="12"/>
      </c>
      <c r="AS87" s="553">
        <f t="shared" si="12"/>
      </c>
      <c r="AT87" s="553">
        <f t="shared" si="12"/>
      </c>
      <c r="AU87" s="553">
        <f t="shared" si="12"/>
      </c>
      <c r="AV87" s="553">
        <f t="shared" si="12"/>
      </c>
      <c r="AW87" s="553">
        <f t="shared" si="12"/>
      </c>
      <c r="AX87" s="553">
        <f t="shared" si="12"/>
      </c>
      <c r="AY87" s="553">
        <f t="shared" si="12"/>
      </c>
      <c r="AZ87" s="553">
        <f t="shared" si="12"/>
      </c>
      <c r="BA87" s="553">
        <f t="shared" si="12"/>
      </c>
      <c r="BB87" s="553">
        <f t="shared" si="12"/>
      </c>
      <c r="BC87" s="553">
        <f t="shared" si="12"/>
      </c>
      <c r="BD87" s="553">
        <f t="shared" si="12"/>
      </c>
      <c r="BE87" s="553">
        <f t="shared" si="12"/>
      </c>
      <c r="BF87" s="364"/>
    </row>
    <row r="88" spans="2:58" s="506" customFormat="1" ht="18" customHeight="1">
      <c r="B88" s="362"/>
      <c r="C88" s="549">
        <f>+IF(AK$51&lt;=$G$47,AK$51,"")</f>
      </c>
      <c r="D88" s="550"/>
      <c r="E88" s="551"/>
      <c r="F88" s="552"/>
      <c r="G88" s="554"/>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555"/>
      <c r="AK88" s="553"/>
      <c r="AL88" s="553">
        <f t="shared" si="12"/>
      </c>
      <c r="AM88" s="553">
        <f t="shared" si="12"/>
      </c>
      <c r="AN88" s="553">
        <f t="shared" si="12"/>
      </c>
      <c r="AO88" s="553">
        <f t="shared" si="12"/>
      </c>
      <c r="AP88" s="553">
        <f t="shared" si="12"/>
      </c>
      <c r="AQ88" s="553">
        <f t="shared" si="12"/>
      </c>
      <c r="AR88" s="553">
        <f t="shared" si="12"/>
      </c>
      <c r="AS88" s="553">
        <f t="shared" si="12"/>
      </c>
      <c r="AT88" s="553">
        <f t="shared" si="12"/>
      </c>
      <c r="AU88" s="553">
        <f t="shared" si="12"/>
      </c>
      <c r="AV88" s="553">
        <f t="shared" si="12"/>
      </c>
      <c r="AW88" s="553">
        <f t="shared" si="12"/>
      </c>
      <c r="AX88" s="553">
        <f t="shared" si="12"/>
      </c>
      <c r="AY88" s="553">
        <f t="shared" si="12"/>
      </c>
      <c r="AZ88" s="553">
        <f t="shared" si="12"/>
      </c>
      <c r="BA88" s="553">
        <f t="shared" si="12"/>
      </c>
      <c r="BB88" s="553">
        <f t="shared" si="12"/>
      </c>
      <c r="BC88" s="553">
        <f t="shared" si="12"/>
      </c>
      <c r="BD88" s="553">
        <f t="shared" si="12"/>
      </c>
      <c r="BE88" s="553">
        <f t="shared" si="12"/>
      </c>
      <c r="BF88" s="364"/>
    </row>
    <row r="89" spans="2:58" s="506" customFormat="1" ht="18" customHeight="1">
      <c r="B89" s="362"/>
      <c r="C89" s="549">
        <f>+IF(AL$51&lt;=$G$47,AL$51,"")</f>
      </c>
      <c r="D89" s="550"/>
      <c r="E89" s="551"/>
      <c r="F89" s="552"/>
      <c r="G89" s="554"/>
      <c r="H89" s="555"/>
      <c r="I89" s="555"/>
      <c r="J89" s="555"/>
      <c r="K89" s="555"/>
      <c r="L89" s="555"/>
      <c r="M89" s="555"/>
      <c r="N89" s="555"/>
      <c r="O89" s="555"/>
      <c r="P89" s="555"/>
      <c r="Q89" s="555"/>
      <c r="R89" s="555"/>
      <c r="S89" s="555"/>
      <c r="T89" s="555"/>
      <c r="U89" s="555"/>
      <c r="V89" s="555"/>
      <c r="W89" s="555"/>
      <c r="X89" s="555"/>
      <c r="Y89" s="555"/>
      <c r="Z89" s="555"/>
      <c r="AA89" s="555"/>
      <c r="AB89" s="555"/>
      <c r="AC89" s="555"/>
      <c r="AD89" s="555"/>
      <c r="AE89" s="555"/>
      <c r="AF89" s="555"/>
      <c r="AG89" s="555"/>
      <c r="AH89" s="555"/>
      <c r="AI89" s="555"/>
      <c r="AJ89" s="555"/>
      <c r="AK89" s="555"/>
      <c r="AL89" s="553"/>
      <c r="AM89" s="553">
        <f t="shared" si="12"/>
      </c>
      <c r="AN89" s="553">
        <f t="shared" si="12"/>
      </c>
      <c r="AO89" s="553">
        <f t="shared" si="12"/>
      </c>
      <c r="AP89" s="553">
        <f t="shared" si="12"/>
      </c>
      <c r="AQ89" s="553">
        <f t="shared" si="12"/>
      </c>
      <c r="AR89" s="553">
        <f t="shared" si="12"/>
      </c>
      <c r="AS89" s="553">
        <f t="shared" si="12"/>
      </c>
      <c r="AT89" s="553">
        <f t="shared" si="12"/>
      </c>
      <c r="AU89" s="553">
        <f t="shared" si="12"/>
      </c>
      <c r="AV89" s="553">
        <f t="shared" si="12"/>
      </c>
      <c r="AW89" s="553">
        <f t="shared" si="12"/>
      </c>
      <c r="AX89" s="553">
        <f t="shared" si="12"/>
      </c>
      <c r="AY89" s="553">
        <f t="shared" si="12"/>
      </c>
      <c r="AZ89" s="553">
        <f t="shared" si="12"/>
      </c>
      <c r="BA89" s="553">
        <f t="shared" si="12"/>
      </c>
      <c r="BB89" s="553">
        <f t="shared" si="12"/>
      </c>
      <c r="BC89" s="553">
        <f t="shared" si="12"/>
      </c>
      <c r="BD89" s="553">
        <f t="shared" si="12"/>
      </c>
      <c r="BE89" s="553">
        <f t="shared" si="12"/>
      </c>
      <c r="BF89" s="364"/>
    </row>
    <row r="90" spans="2:58" s="506" customFormat="1" ht="18" customHeight="1">
      <c r="B90" s="362"/>
      <c r="C90" s="549">
        <f>+IF(AM$51&lt;=$G$47,AM$51,"")</f>
      </c>
      <c r="D90" s="550"/>
      <c r="E90" s="551"/>
      <c r="F90" s="552"/>
      <c r="G90" s="554"/>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5"/>
      <c r="AM90" s="553"/>
      <c r="AN90" s="553">
        <f t="shared" si="12"/>
      </c>
      <c r="AO90" s="553">
        <f t="shared" si="12"/>
      </c>
      <c r="AP90" s="553">
        <f t="shared" si="12"/>
      </c>
      <c r="AQ90" s="553">
        <f t="shared" si="12"/>
      </c>
      <c r="AR90" s="553">
        <f t="shared" si="12"/>
      </c>
      <c r="AS90" s="553">
        <f t="shared" si="12"/>
      </c>
      <c r="AT90" s="553">
        <f t="shared" si="12"/>
      </c>
      <c r="AU90" s="553">
        <f t="shared" si="12"/>
      </c>
      <c r="AV90" s="553">
        <f t="shared" si="12"/>
      </c>
      <c r="AW90" s="553">
        <f t="shared" si="12"/>
      </c>
      <c r="AX90" s="553">
        <f t="shared" si="12"/>
      </c>
      <c r="AY90" s="553">
        <f t="shared" si="12"/>
      </c>
      <c r="AZ90" s="553">
        <f t="shared" si="12"/>
      </c>
      <c r="BA90" s="553">
        <f t="shared" si="12"/>
      </c>
      <c r="BB90" s="553">
        <f t="shared" si="12"/>
      </c>
      <c r="BC90" s="553">
        <f t="shared" si="12"/>
      </c>
      <c r="BD90" s="553">
        <f t="shared" si="12"/>
      </c>
      <c r="BE90" s="553">
        <f t="shared" si="12"/>
      </c>
      <c r="BF90" s="364"/>
    </row>
    <row r="91" spans="2:58" s="506" customFormat="1" ht="18" customHeight="1">
      <c r="B91" s="362"/>
      <c r="C91" s="549">
        <f>+IF(AN$51&lt;=$G$47,AN$51,"")</f>
      </c>
      <c r="D91" s="550"/>
      <c r="E91" s="551"/>
      <c r="F91" s="552"/>
      <c r="G91" s="554"/>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c r="AM91" s="555"/>
      <c r="AN91" s="553"/>
      <c r="AO91" s="553">
        <f t="shared" si="12"/>
      </c>
      <c r="AP91" s="553">
        <f t="shared" si="12"/>
      </c>
      <c r="AQ91" s="553">
        <f aca="true" t="shared" si="13" ref="AQ91:BE91">IF(ISERROR($F91*$E91*EXP(-$F91*(AQ$51-$C91))*$D91),"",$F91*$E91*EXP(-$F91*(AQ$51-$C91))*$D91)</f>
      </c>
      <c r="AR91" s="553">
        <f t="shared" si="13"/>
      </c>
      <c r="AS91" s="553">
        <f t="shared" si="13"/>
      </c>
      <c r="AT91" s="553">
        <f t="shared" si="13"/>
      </c>
      <c r="AU91" s="553">
        <f t="shared" si="13"/>
      </c>
      <c r="AV91" s="553">
        <f t="shared" si="13"/>
      </c>
      <c r="AW91" s="553">
        <f t="shared" si="13"/>
      </c>
      <c r="AX91" s="553">
        <f t="shared" si="13"/>
      </c>
      <c r="AY91" s="553">
        <f t="shared" si="13"/>
      </c>
      <c r="AZ91" s="553">
        <f t="shared" si="13"/>
      </c>
      <c r="BA91" s="553">
        <f t="shared" si="13"/>
      </c>
      <c r="BB91" s="553">
        <f t="shared" si="13"/>
      </c>
      <c r="BC91" s="553">
        <f t="shared" si="13"/>
      </c>
      <c r="BD91" s="553">
        <f t="shared" si="13"/>
      </c>
      <c r="BE91" s="553">
        <f t="shared" si="13"/>
      </c>
      <c r="BF91" s="364"/>
    </row>
    <row r="92" spans="2:58" s="506" customFormat="1" ht="18" customHeight="1">
      <c r="B92" s="362"/>
      <c r="C92" s="549">
        <f>+IF(AO$51&lt;=$G$47,AO$51,"")</f>
      </c>
      <c r="D92" s="550"/>
      <c r="E92" s="551"/>
      <c r="F92" s="552"/>
      <c r="G92" s="554"/>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K92" s="555"/>
      <c r="AL92" s="555"/>
      <c r="AM92" s="555"/>
      <c r="AN92" s="555"/>
      <c r="AO92" s="553"/>
      <c r="AP92" s="553">
        <f aca="true" t="shared" si="14" ref="AP92:BE102">IF(ISERROR($F92*$E92*EXP(-$F92*(AP$51-$C92))*$D92),"",$F92*$E92*EXP(-$F92*(AP$51-$C92))*$D92)</f>
      </c>
      <c r="AQ92" s="553">
        <f t="shared" si="14"/>
      </c>
      <c r="AR92" s="553">
        <f t="shared" si="14"/>
      </c>
      <c r="AS92" s="553">
        <f t="shared" si="14"/>
      </c>
      <c r="AT92" s="553">
        <f t="shared" si="14"/>
      </c>
      <c r="AU92" s="553">
        <f t="shared" si="14"/>
      </c>
      <c r="AV92" s="553">
        <f t="shared" si="14"/>
      </c>
      <c r="AW92" s="553">
        <f t="shared" si="14"/>
      </c>
      <c r="AX92" s="553">
        <f t="shared" si="14"/>
      </c>
      <c r="AY92" s="553">
        <f t="shared" si="14"/>
      </c>
      <c r="AZ92" s="553">
        <f t="shared" si="14"/>
      </c>
      <c r="BA92" s="553">
        <f t="shared" si="14"/>
      </c>
      <c r="BB92" s="553">
        <f t="shared" si="14"/>
      </c>
      <c r="BC92" s="553">
        <f t="shared" si="14"/>
      </c>
      <c r="BD92" s="553">
        <f t="shared" si="14"/>
      </c>
      <c r="BE92" s="553">
        <f t="shared" si="14"/>
      </c>
      <c r="BF92" s="364"/>
    </row>
    <row r="93" spans="2:58" s="506" customFormat="1" ht="18" customHeight="1">
      <c r="B93" s="362"/>
      <c r="C93" s="549">
        <f>+IF(AP$51&lt;=$G$47,AP$51,"")</f>
      </c>
      <c r="D93" s="550"/>
      <c r="E93" s="551"/>
      <c r="F93" s="552"/>
      <c r="G93" s="554"/>
      <c r="H93" s="555"/>
      <c r="I93" s="555"/>
      <c r="J93" s="555"/>
      <c r="K93" s="555"/>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5"/>
      <c r="AI93" s="555"/>
      <c r="AJ93" s="555"/>
      <c r="AK93" s="555"/>
      <c r="AL93" s="555"/>
      <c r="AM93" s="555"/>
      <c r="AN93" s="555"/>
      <c r="AO93" s="555"/>
      <c r="AP93" s="553"/>
      <c r="AQ93" s="553">
        <f t="shared" si="14"/>
      </c>
      <c r="AR93" s="553">
        <f t="shared" si="14"/>
      </c>
      <c r="AS93" s="553">
        <f t="shared" si="14"/>
      </c>
      <c r="AT93" s="553">
        <f t="shared" si="14"/>
      </c>
      <c r="AU93" s="553">
        <f t="shared" si="14"/>
      </c>
      <c r="AV93" s="553">
        <f t="shared" si="14"/>
      </c>
      <c r="AW93" s="553">
        <f t="shared" si="14"/>
      </c>
      <c r="AX93" s="553">
        <f t="shared" si="14"/>
      </c>
      <c r="AY93" s="553">
        <f t="shared" si="14"/>
      </c>
      <c r="AZ93" s="553">
        <f t="shared" si="14"/>
      </c>
      <c r="BA93" s="553">
        <f t="shared" si="14"/>
      </c>
      <c r="BB93" s="553">
        <f t="shared" si="14"/>
      </c>
      <c r="BC93" s="553">
        <f t="shared" si="14"/>
      </c>
      <c r="BD93" s="553">
        <f t="shared" si="14"/>
      </c>
      <c r="BE93" s="553">
        <f t="shared" si="14"/>
      </c>
      <c r="BF93" s="364"/>
    </row>
    <row r="94" spans="2:58" s="506" customFormat="1" ht="18" customHeight="1">
      <c r="B94" s="362"/>
      <c r="C94" s="549">
        <f>+IF(AQ$51&lt;=$G$47,AQ$51,"")</f>
      </c>
      <c r="D94" s="550"/>
      <c r="E94" s="551"/>
      <c r="F94" s="552"/>
      <c r="G94" s="554"/>
      <c r="H94" s="555"/>
      <c r="I94" s="555"/>
      <c r="J94" s="555"/>
      <c r="K94" s="555"/>
      <c r="L94" s="555"/>
      <c r="M94" s="555"/>
      <c r="N94" s="555"/>
      <c r="O94" s="555"/>
      <c r="P94" s="555"/>
      <c r="Q94" s="555"/>
      <c r="R94" s="555"/>
      <c r="S94" s="555"/>
      <c r="T94" s="555"/>
      <c r="U94" s="555"/>
      <c r="V94" s="555"/>
      <c r="W94" s="555"/>
      <c r="X94" s="555"/>
      <c r="Y94" s="555"/>
      <c r="Z94" s="555"/>
      <c r="AA94" s="555"/>
      <c r="AB94" s="555"/>
      <c r="AC94" s="555"/>
      <c r="AD94" s="555"/>
      <c r="AE94" s="555"/>
      <c r="AF94" s="555"/>
      <c r="AG94" s="555"/>
      <c r="AH94" s="555"/>
      <c r="AI94" s="555"/>
      <c r="AJ94" s="555"/>
      <c r="AK94" s="555"/>
      <c r="AL94" s="555"/>
      <c r="AM94" s="555"/>
      <c r="AN94" s="555"/>
      <c r="AO94" s="555"/>
      <c r="AP94" s="555"/>
      <c r="AQ94" s="553"/>
      <c r="AR94" s="553">
        <f t="shared" si="14"/>
      </c>
      <c r="AS94" s="553">
        <f t="shared" si="14"/>
      </c>
      <c r="AT94" s="553">
        <f t="shared" si="14"/>
      </c>
      <c r="AU94" s="553">
        <f t="shared" si="14"/>
      </c>
      <c r="AV94" s="553">
        <f t="shared" si="14"/>
      </c>
      <c r="AW94" s="553">
        <f t="shared" si="14"/>
      </c>
      <c r="AX94" s="553">
        <f t="shared" si="14"/>
      </c>
      <c r="AY94" s="553">
        <f t="shared" si="14"/>
      </c>
      <c r="AZ94" s="553">
        <f t="shared" si="14"/>
      </c>
      <c r="BA94" s="553">
        <f t="shared" si="14"/>
      </c>
      <c r="BB94" s="553">
        <f t="shared" si="14"/>
      </c>
      <c r="BC94" s="553">
        <f t="shared" si="14"/>
      </c>
      <c r="BD94" s="553">
        <f t="shared" si="14"/>
      </c>
      <c r="BE94" s="553">
        <f t="shared" si="14"/>
      </c>
      <c r="BF94" s="364"/>
    </row>
    <row r="95" spans="2:58" s="506" customFormat="1" ht="18" customHeight="1">
      <c r="B95" s="362"/>
      <c r="C95" s="549">
        <f>+IF(AR$51&lt;=$G$47,AR$51,"")</f>
      </c>
      <c r="D95" s="550"/>
      <c r="E95" s="551"/>
      <c r="F95" s="552"/>
      <c r="G95" s="554"/>
      <c r="H95" s="555"/>
      <c r="I95" s="555"/>
      <c r="J95" s="555"/>
      <c r="K95" s="555"/>
      <c r="L95" s="555"/>
      <c r="M95" s="555"/>
      <c r="N95" s="555"/>
      <c r="O95" s="555"/>
      <c r="P95" s="555"/>
      <c r="Q95" s="555"/>
      <c r="R95" s="555"/>
      <c r="S95" s="555"/>
      <c r="T95" s="555"/>
      <c r="U95" s="555"/>
      <c r="V95" s="555"/>
      <c r="W95" s="555"/>
      <c r="X95" s="555"/>
      <c r="Y95" s="555"/>
      <c r="Z95" s="555"/>
      <c r="AA95" s="555"/>
      <c r="AB95" s="555"/>
      <c r="AC95" s="555"/>
      <c r="AD95" s="555"/>
      <c r="AE95" s="555"/>
      <c r="AF95" s="555"/>
      <c r="AG95" s="555"/>
      <c r="AH95" s="555"/>
      <c r="AI95" s="555"/>
      <c r="AJ95" s="555"/>
      <c r="AK95" s="555"/>
      <c r="AL95" s="555"/>
      <c r="AM95" s="555"/>
      <c r="AN95" s="555"/>
      <c r="AO95" s="555"/>
      <c r="AP95" s="555"/>
      <c r="AQ95" s="555"/>
      <c r="AR95" s="553"/>
      <c r="AS95" s="553">
        <f t="shared" si="14"/>
      </c>
      <c r="AT95" s="553">
        <f t="shared" si="14"/>
      </c>
      <c r="AU95" s="553">
        <f t="shared" si="14"/>
      </c>
      <c r="AV95" s="553">
        <f t="shared" si="14"/>
      </c>
      <c r="AW95" s="553">
        <f t="shared" si="14"/>
      </c>
      <c r="AX95" s="553">
        <f t="shared" si="14"/>
      </c>
      <c r="AY95" s="553">
        <f t="shared" si="14"/>
      </c>
      <c r="AZ95" s="553">
        <f t="shared" si="14"/>
      </c>
      <c r="BA95" s="553">
        <f t="shared" si="14"/>
      </c>
      <c r="BB95" s="553">
        <f t="shared" si="14"/>
      </c>
      <c r="BC95" s="553">
        <f t="shared" si="14"/>
      </c>
      <c r="BD95" s="553">
        <f t="shared" si="14"/>
      </c>
      <c r="BE95" s="553">
        <f t="shared" si="14"/>
      </c>
      <c r="BF95" s="364"/>
    </row>
    <row r="96" spans="2:58" s="506" customFormat="1" ht="18" customHeight="1">
      <c r="B96" s="362"/>
      <c r="C96" s="549">
        <f>+IF(AS$51&lt;=$G$47,AS$51,"")</f>
      </c>
      <c r="D96" s="550"/>
      <c r="E96" s="551"/>
      <c r="F96" s="552"/>
      <c r="G96" s="554"/>
      <c r="H96" s="555"/>
      <c r="I96" s="555"/>
      <c r="J96" s="555"/>
      <c r="K96" s="555"/>
      <c r="L96" s="555"/>
      <c r="M96" s="555"/>
      <c r="N96" s="555"/>
      <c r="O96" s="555"/>
      <c r="P96" s="555"/>
      <c r="Q96" s="555"/>
      <c r="R96" s="555"/>
      <c r="S96" s="555"/>
      <c r="T96" s="555"/>
      <c r="U96" s="555"/>
      <c r="V96" s="555"/>
      <c r="W96" s="555"/>
      <c r="X96" s="555"/>
      <c r="Y96" s="555"/>
      <c r="Z96" s="555"/>
      <c r="AA96" s="555"/>
      <c r="AB96" s="555"/>
      <c r="AC96" s="555"/>
      <c r="AD96" s="555"/>
      <c r="AE96" s="555"/>
      <c r="AF96" s="555"/>
      <c r="AG96" s="555"/>
      <c r="AH96" s="555"/>
      <c r="AI96" s="555"/>
      <c r="AJ96" s="555"/>
      <c r="AK96" s="555"/>
      <c r="AL96" s="555"/>
      <c r="AM96" s="555"/>
      <c r="AN96" s="555"/>
      <c r="AO96" s="555"/>
      <c r="AP96" s="555"/>
      <c r="AQ96" s="555"/>
      <c r="AR96" s="555"/>
      <c r="AS96" s="553"/>
      <c r="AT96" s="553">
        <f t="shared" si="14"/>
      </c>
      <c r="AU96" s="553">
        <f t="shared" si="14"/>
      </c>
      <c r="AV96" s="553">
        <f t="shared" si="14"/>
      </c>
      <c r="AW96" s="553">
        <f t="shared" si="14"/>
      </c>
      <c r="AX96" s="553">
        <f t="shared" si="14"/>
      </c>
      <c r="AY96" s="553">
        <f t="shared" si="14"/>
      </c>
      <c r="AZ96" s="553">
        <f t="shared" si="14"/>
      </c>
      <c r="BA96" s="553">
        <f t="shared" si="14"/>
      </c>
      <c r="BB96" s="553">
        <f t="shared" si="14"/>
      </c>
      <c r="BC96" s="553">
        <f t="shared" si="14"/>
      </c>
      <c r="BD96" s="553">
        <f t="shared" si="14"/>
      </c>
      <c r="BE96" s="553">
        <f t="shared" si="14"/>
      </c>
      <c r="BF96" s="364"/>
    </row>
    <row r="97" spans="2:58" s="506" customFormat="1" ht="18" customHeight="1">
      <c r="B97" s="362"/>
      <c r="C97" s="549">
        <f>+IF(AT$51&lt;=$G$47,AT$51,"")</f>
      </c>
      <c r="D97" s="550"/>
      <c r="E97" s="551"/>
      <c r="F97" s="552"/>
      <c r="G97" s="554"/>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3"/>
      <c r="AU97" s="553">
        <f t="shared" si="14"/>
      </c>
      <c r="AV97" s="553">
        <f t="shared" si="14"/>
      </c>
      <c r="AW97" s="553">
        <f t="shared" si="14"/>
      </c>
      <c r="AX97" s="553">
        <f t="shared" si="14"/>
      </c>
      <c r="AY97" s="553">
        <f t="shared" si="14"/>
      </c>
      <c r="AZ97" s="553">
        <f t="shared" si="14"/>
      </c>
      <c r="BA97" s="553">
        <f t="shared" si="14"/>
      </c>
      <c r="BB97" s="553">
        <f t="shared" si="14"/>
      </c>
      <c r="BC97" s="553">
        <f t="shared" si="14"/>
      </c>
      <c r="BD97" s="553">
        <f t="shared" si="14"/>
      </c>
      <c r="BE97" s="553">
        <f t="shared" si="14"/>
      </c>
      <c r="BF97" s="364"/>
    </row>
    <row r="98" spans="2:58" s="506" customFormat="1" ht="18" customHeight="1">
      <c r="B98" s="362"/>
      <c r="C98" s="549">
        <f>+IF(AU$51&lt;=$G$47,AU$51,"")</f>
      </c>
      <c r="D98" s="550"/>
      <c r="E98" s="551"/>
      <c r="F98" s="552"/>
      <c r="G98" s="554"/>
      <c r="H98" s="555"/>
      <c r="I98" s="555"/>
      <c r="J98" s="555"/>
      <c r="K98" s="555"/>
      <c r="L98" s="555"/>
      <c r="M98" s="555"/>
      <c r="N98" s="555"/>
      <c r="O98" s="555"/>
      <c r="P98" s="555"/>
      <c r="Q98" s="555"/>
      <c r="R98" s="555"/>
      <c r="S98" s="555"/>
      <c r="T98" s="555"/>
      <c r="U98" s="555"/>
      <c r="V98" s="555"/>
      <c r="W98" s="555"/>
      <c r="X98" s="555"/>
      <c r="Y98" s="555"/>
      <c r="Z98" s="555"/>
      <c r="AA98" s="555"/>
      <c r="AB98" s="555"/>
      <c r="AC98" s="555"/>
      <c r="AD98" s="555"/>
      <c r="AE98" s="555"/>
      <c r="AF98" s="555"/>
      <c r="AG98" s="555"/>
      <c r="AH98" s="555"/>
      <c r="AI98" s="555"/>
      <c r="AJ98" s="555"/>
      <c r="AK98" s="555"/>
      <c r="AL98" s="555"/>
      <c r="AM98" s="555"/>
      <c r="AN98" s="555"/>
      <c r="AO98" s="555"/>
      <c r="AP98" s="555"/>
      <c r="AQ98" s="555"/>
      <c r="AR98" s="555"/>
      <c r="AS98" s="555"/>
      <c r="AT98" s="555"/>
      <c r="AU98" s="553"/>
      <c r="AV98" s="553">
        <f t="shared" si="14"/>
      </c>
      <c r="AW98" s="553">
        <f t="shared" si="14"/>
      </c>
      <c r="AX98" s="553">
        <f t="shared" si="14"/>
      </c>
      <c r="AY98" s="553">
        <f t="shared" si="14"/>
      </c>
      <c r="AZ98" s="553">
        <f t="shared" si="14"/>
      </c>
      <c r="BA98" s="553">
        <f t="shared" si="14"/>
      </c>
      <c r="BB98" s="553">
        <f t="shared" si="14"/>
      </c>
      <c r="BC98" s="553">
        <f t="shared" si="14"/>
      </c>
      <c r="BD98" s="553">
        <f t="shared" si="14"/>
      </c>
      <c r="BE98" s="553">
        <f t="shared" si="14"/>
      </c>
      <c r="BF98" s="364"/>
    </row>
    <row r="99" spans="2:58" s="506" customFormat="1" ht="18" customHeight="1">
      <c r="B99" s="362"/>
      <c r="C99" s="549">
        <f>+IF(AV$51&lt;=$G$47,AV$51,"")</f>
      </c>
      <c r="D99" s="550"/>
      <c r="E99" s="551"/>
      <c r="F99" s="552"/>
      <c r="G99" s="554"/>
      <c r="H99" s="555"/>
      <c r="I99" s="555"/>
      <c r="J99" s="555"/>
      <c r="K99" s="555"/>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5"/>
      <c r="AI99" s="555"/>
      <c r="AJ99" s="555"/>
      <c r="AK99" s="555"/>
      <c r="AL99" s="555"/>
      <c r="AM99" s="555"/>
      <c r="AN99" s="555"/>
      <c r="AO99" s="555"/>
      <c r="AP99" s="555"/>
      <c r="AQ99" s="555"/>
      <c r="AR99" s="555"/>
      <c r="AS99" s="555"/>
      <c r="AT99" s="555"/>
      <c r="AU99" s="555"/>
      <c r="AV99" s="553"/>
      <c r="AW99" s="553">
        <f t="shared" si="14"/>
      </c>
      <c r="AX99" s="553">
        <f t="shared" si="14"/>
      </c>
      <c r="AY99" s="553">
        <f t="shared" si="14"/>
      </c>
      <c r="AZ99" s="553">
        <f t="shared" si="14"/>
      </c>
      <c r="BA99" s="553">
        <f t="shared" si="14"/>
      </c>
      <c r="BB99" s="553">
        <f t="shared" si="14"/>
      </c>
      <c r="BC99" s="553">
        <f t="shared" si="14"/>
      </c>
      <c r="BD99" s="553">
        <f t="shared" si="14"/>
      </c>
      <c r="BE99" s="553">
        <f t="shared" si="14"/>
      </c>
      <c r="BF99" s="364"/>
    </row>
    <row r="100" spans="2:58" s="506" customFormat="1" ht="15">
      <c r="B100" s="362"/>
      <c r="C100" s="549">
        <f>+IF(AW$51&lt;=$G$47,AW$51,"")</f>
      </c>
      <c r="D100" s="550"/>
      <c r="E100" s="551"/>
      <c r="F100" s="552"/>
      <c r="G100" s="554"/>
      <c r="H100" s="555"/>
      <c r="I100" s="555"/>
      <c r="J100" s="555"/>
      <c r="K100" s="555"/>
      <c r="L100" s="555"/>
      <c r="M100" s="555"/>
      <c r="N100" s="555"/>
      <c r="O100" s="555"/>
      <c r="P100" s="555"/>
      <c r="Q100" s="555"/>
      <c r="R100" s="555"/>
      <c r="S100" s="555"/>
      <c r="T100" s="555"/>
      <c r="U100" s="555"/>
      <c r="V100" s="555"/>
      <c r="W100" s="555"/>
      <c r="X100" s="555"/>
      <c r="Y100" s="555"/>
      <c r="Z100" s="555"/>
      <c r="AA100" s="555"/>
      <c r="AB100" s="555"/>
      <c r="AC100" s="555"/>
      <c r="AD100" s="555"/>
      <c r="AE100" s="555"/>
      <c r="AF100" s="555"/>
      <c r="AG100" s="555"/>
      <c r="AH100" s="555"/>
      <c r="AI100" s="555"/>
      <c r="AJ100" s="555"/>
      <c r="AK100" s="555"/>
      <c r="AL100" s="555"/>
      <c r="AM100" s="555"/>
      <c r="AN100" s="555"/>
      <c r="AO100" s="555"/>
      <c r="AP100" s="555"/>
      <c r="AQ100" s="555"/>
      <c r="AR100" s="555"/>
      <c r="AS100" s="555"/>
      <c r="AT100" s="555"/>
      <c r="AU100" s="555"/>
      <c r="AV100" s="555"/>
      <c r="AW100" s="553"/>
      <c r="AX100" s="553">
        <f t="shared" si="14"/>
      </c>
      <c r="AY100" s="553">
        <f t="shared" si="14"/>
      </c>
      <c r="AZ100" s="553">
        <f t="shared" si="14"/>
      </c>
      <c r="BA100" s="553">
        <f t="shared" si="14"/>
      </c>
      <c r="BB100" s="553">
        <f t="shared" si="14"/>
      </c>
      <c r="BC100" s="553">
        <f t="shared" si="14"/>
      </c>
      <c r="BD100" s="553">
        <f t="shared" si="14"/>
      </c>
      <c r="BE100" s="553">
        <f t="shared" si="14"/>
      </c>
      <c r="BF100" s="364"/>
    </row>
    <row r="101" spans="2:58" s="506" customFormat="1" ht="15">
      <c r="B101" s="362"/>
      <c r="C101" s="549">
        <f>+IF(AX$51&lt;=$G$47,AX$51,"")</f>
      </c>
      <c r="D101" s="550"/>
      <c r="E101" s="551"/>
      <c r="F101" s="552"/>
      <c r="G101" s="554"/>
      <c r="H101" s="555"/>
      <c r="I101" s="555"/>
      <c r="J101" s="555"/>
      <c r="K101" s="555"/>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5"/>
      <c r="AI101" s="555"/>
      <c r="AJ101" s="555"/>
      <c r="AK101" s="555"/>
      <c r="AL101" s="555"/>
      <c r="AM101" s="555"/>
      <c r="AN101" s="555"/>
      <c r="AO101" s="555"/>
      <c r="AP101" s="555"/>
      <c r="AQ101" s="555"/>
      <c r="AR101" s="555"/>
      <c r="AS101" s="555"/>
      <c r="AT101" s="555"/>
      <c r="AU101" s="555"/>
      <c r="AV101" s="555"/>
      <c r="AW101" s="555"/>
      <c r="AX101" s="553"/>
      <c r="AY101" s="553">
        <f t="shared" si="14"/>
      </c>
      <c r="AZ101" s="553">
        <f t="shared" si="14"/>
      </c>
      <c r="BA101" s="553">
        <f t="shared" si="14"/>
      </c>
      <c r="BB101" s="553">
        <f t="shared" si="14"/>
      </c>
      <c r="BC101" s="553">
        <f t="shared" si="14"/>
      </c>
      <c r="BD101" s="553">
        <f t="shared" si="14"/>
      </c>
      <c r="BE101" s="553">
        <f t="shared" si="14"/>
      </c>
      <c r="BF101" s="364"/>
    </row>
    <row r="102" spans="2:58" s="506" customFormat="1" ht="15">
      <c r="B102" s="362"/>
      <c r="C102" s="549">
        <f>+IF(AY$51&lt;=$G$47,AY$51,"")</f>
      </c>
      <c r="D102" s="550"/>
      <c r="E102" s="551"/>
      <c r="F102" s="552"/>
      <c r="G102" s="554"/>
      <c r="H102" s="555"/>
      <c r="I102" s="555"/>
      <c r="J102" s="555"/>
      <c r="K102" s="555"/>
      <c r="L102" s="555"/>
      <c r="M102" s="555"/>
      <c r="N102" s="555"/>
      <c r="O102" s="555"/>
      <c r="P102" s="555"/>
      <c r="Q102" s="555"/>
      <c r="R102" s="555"/>
      <c r="S102" s="555"/>
      <c r="T102" s="555"/>
      <c r="U102" s="555"/>
      <c r="V102" s="555"/>
      <c r="W102" s="555"/>
      <c r="X102" s="555"/>
      <c r="Y102" s="555"/>
      <c r="Z102" s="555"/>
      <c r="AA102" s="555"/>
      <c r="AB102" s="555"/>
      <c r="AC102" s="555"/>
      <c r="AD102" s="555"/>
      <c r="AE102" s="555"/>
      <c r="AF102" s="555"/>
      <c r="AG102" s="555"/>
      <c r="AH102" s="555"/>
      <c r="AI102" s="555"/>
      <c r="AJ102" s="555"/>
      <c r="AK102" s="555"/>
      <c r="AL102" s="555"/>
      <c r="AM102" s="555"/>
      <c r="AN102" s="555"/>
      <c r="AO102" s="555"/>
      <c r="AP102" s="555"/>
      <c r="AQ102" s="555"/>
      <c r="AR102" s="555"/>
      <c r="AS102" s="555"/>
      <c r="AT102" s="555"/>
      <c r="AU102" s="555"/>
      <c r="AV102" s="555"/>
      <c r="AW102" s="555"/>
      <c r="AX102" s="555"/>
      <c r="AY102" s="553"/>
      <c r="AZ102" s="553">
        <f t="shared" si="14"/>
      </c>
      <c r="BA102" s="553">
        <f t="shared" si="14"/>
      </c>
      <c r="BB102" s="553">
        <f t="shared" si="14"/>
      </c>
      <c r="BC102" s="553">
        <f t="shared" si="14"/>
      </c>
      <c r="BD102" s="553">
        <f t="shared" si="14"/>
      </c>
      <c r="BE102" s="553">
        <f t="shared" si="14"/>
      </c>
      <c r="BF102" s="364"/>
    </row>
    <row r="103" spans="2:58" s="506" customFormat="1" ht="15">
      <c r="B103" s="362"/>
      <c r="C103" s="549">
        <f>+IF(AZ$51&lt;=$G$47,AZ$51,"")</f>
      </c>
      <c r="D103" s="550"/>
      <c r="E103" s="551"/>
      <c r="F103" s="552"/>
      <c r="G103" s="554"/>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5"/>
      <c r="AI103" s="555"/>
      <c r="AJ103" s="555"/>
      <c r="AK103" s="555"/>
      <c r="AL103" s="555"/>
      <c r="AM103" s="555"/>
      <c r="AN103" s="555"/>
      <c r="AO103" s="555"/>
      <c r="AP103" s="555"/>
      <c r="AQ103" s="555"/>
      <c r="AR103" s="555"/>
      <c r="AS103" s="555"/>
      <c r="AT103" s="555"/>
      <c r="AU103" s="555"/>
      <c r="AV103" s="555"/>
      <c r="AW103" s="555"/>
      <c r="AX103" s="555"/>
      <c r="AY103" s="555"/>
      <c r="AZ103" s="553"/>
      <c r="BA103" s="553">
        <f>IF(ISERROR($F103*$E103*EXP(-$F103*(BA$51-$C103))*$D103),"",$F103*$E103*EXP(-$F103*(BA$51-$C103))*$D103)</f>
      </c>
      <c r="BB103" s="553">
        <f>IF(ISERROR($F103*$E103*EXP(-$F103*(BB$51-$C103))*$D103),"",$F103*$E103*EXP(-$F103*(BB$51-$C103))*$D103)</f>
      </c>
      <c r="BC103" s="553">
        <f>IF(ISERROR($F103*$E103*EXP(-$F103*(BC$51-$C103))*$D103),"",$F103*$E103*EXP(-$F103*(BC$51-$C103))*$D103)</f>
      </c>
      <c r="BD103" s="553">
        <f>IF(ISERROR($F103*$E103*EXP(-$F103*(BD$51-$C103))*$D103),"",$F103*$E103*EXP(-$F103*(BD$51-$C103))*$D103)</f>
      </c>
      <c r="BE103" s="553">
        <f>IF(ISERROR($F103*$E103*EXP(-$F103*(BE$51-$C103))*$D103),"",$F103*$E103*EXP(-$F103*(BE$51-$C103))*$D103)</f>
      </c>
      <c r="BF103" s="364"/>
    </row>
    <row r="104" spans="2:58" s="506" customFormat="1" ht="15">
      <c r="B104" s="362"/>
      <c r="C104" s="549">
        <f>+IF(BA$51&lt;=$G$47,BA$51,"")</f>
      </c>
      <c r="D104" s="550"/>
      <c r="E104" s="551"/>
      <c r="F104" s="552"/>
      <c r="G104" s="554"/>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5"/>
      <c r="AY104" s="555"/>
      <c r="AZ104" s="555"/>
      <c r="BA104" s="553"/>
      <c r="BB104" s="553">
        <f>IF(ISERROR($F104*$E104*EXP(-$F104*(BB$51-$C104))*$D104),"",$F104*$E104*EXP(-$F104*(BB$51-$C104))*$D104)</f>
      </c>
      <c r="BC104" s="553">
        <f>IF(ISERROR($F104*$E104*EXP(-$F104*(BC$51-$C104))*$D104),"",$F104*$E104*EXP(-$F104*(BC$51-$C104))*$D104)</f>
      </c>
      <c r="BD104" s="553">
        <f>IF(ISERROR($F104*$E104*EXP(-$F104*(BD$51-$C104))*$D104),"",$F104*$E104*EXP(-$F104*(BD$51-$C104))*$D104)</f>
      </c>
      <c r="BE104" s="553">
        <f>IF(ISERROR($F104*$E104*EXP(-$F104*(BE$51-$C104))*$D104),"",$F104*$E104*EXP(-$F104*(BE$51-$C104))*$D104)</f>
      </c>
      <c r="BF104" s="364"/>
    </row>
    <row r="105" spans="2:58" s="506" customFormat="1" ht="15">
      <c r="B105" s="362"/>
      <c r="C105" s="549">
        <f>+IF(BB$51&lt;=$G$47,BB$51,"")</f>
      </c>
      <c r="D105" s="550"/>
      <c r="E105" s="551"/>
      <c r="F105" s="552"/>
      <c r="G105" s="554"/>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3"/>
      <c r="BC105" s="553">
        <f>IF(ISERROR($F105*$E105*EXP(-$F105*(BC$51-$C105))*$D105),"",$F105*$E105*EXP(-$F105*(BC$51-$C105))*$D105)</f>
      </c>
      <c r="BD105" s="553">
        <f>IF(ISERROR($F105*$E105*EXP(-$F105*(BD$51-$C105))*$D105),"",$F105*$E105*EXP(-$F105*(BD$51-$C105))*$D105)</f>
      </c>
      <c r="BE105" s="553">
        <f>IF(ISERROR($F105*$E105*EXP(-$F105*(BE$51-$C105))*$D105),"",$F105*$E105*EXP(-$F105*(BE$51-$C105))*$D105)</f>
      </c>
      <c r="BF105" s="364"/>
    </row>
    <row r="106" spans="2:58" s="506" customFormat="1" ht="15">
      <c r="B106" s="362"/>
      <c r="C106" s="549">
        <f>+IF(BC$51&lt;=$G$47,BC$51,"")</f>
      </c>
      <c r="D106" s="550"/>
      <c r="E106" s="551"/>
      <c r="F106" s="552"/>
      <c r="G106" s="554"/>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5"/>
      <c r="AZ106" s="555"/>
      <c r="BA106" s="555"/>
      <c r="BB106" s="555"/>
      <c r="BC106" s="553"/>
      <c r="BD106" s="553">
        <f>IF(ISERROR($F106*$E106*EXP(-$F106*(BD$51-$C106))*$D106),"",$F106*$E106*EXP(-$F106*(BD$51-$C106))*$D106)</f>
      </c>
      <c r="BE106" s="553">
        <f>IF(ISERROR($F106*$E106*EXP(-$F106*(BE$51-$C106))*$D106),"",$F106*$E106*EXP(-$F106*(BE$51-$C106))*$D106)</f>
      </c>
      <c r="BF106" s="364"/>
    </row>
    <row r="107" spans="2:58" s="506" customFormat="1" ht="15">
      <c r="B107" s="362"/>
      <c r="C107" s="549">
        <f>+IF(BD$51&lt;=$G$47,BD$51,"")</f>
      </c>
      <c r="D107" s="550"/>
      <c r="E107" s="551"/>
      <c r="F107" s="552"/>
      <c r="G107" s="554"/>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5"/>
      <c r="AY107" s="555"/>
      <c r="AZ107" s="555"/>
      <c r="BA107" s="555"/>
      <c r="BB107" s="555"/>
      <c r="BC107" s="555"/>
      <c r="BD107" s="553"/>
      <c r="BE107" s="553">
        <f>IF(ISERROR($F107*$E107*EXP(-$F107*(BE$51-$C107))*$D107),"",$F107*$E107*EXP(-$F107*(BE$51-$C107))*$D107)</f>
      </c>
      <c r="BF107" s="364"/>
    </row>
    <row r="108" spans="2:58" s="506" customFormat="1" ht="15">
      <c r="B108" s="362"/>
      <c r="C108" s="549">
        <f>+IF(BE$51&lt;=$G$47,BE$51,"")</f>
      </c>
      <c r="D108" s="550"/>
      <c r="E108" s="551"/>
      <c r="F108" s="552"/>
      <c r="G108" s="554"/>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5"/>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5"/>
      <c r="AY108" s="555"/>
      <c r="AZ108" s="555"/>
      <c r="BA108" s="555"/>
      <c r="BB108" s="555"/>
      <c r="BC108" s="555"/>
      <c r="BD108" s="555"/>
      <c r="BE108" s="553"/>
      <c r="BF108" s="364"/>
    </row>
    <row r="109" spans="2:58" s="508" customFormat="1" ht="15.75" thickBot="1">
      <c r="B109" s="500"/>
      <c r="C109" s="518"/>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518"/>
      <c r="AF109" s="518"/>
      <c r="AG109" s="518"/>
      <c r="AH109" s="518"/>
      <c r="AI109" s="518"/>
      <c r="AJ109" s="518"/>
      <c r="AK109" s="518"/>
      <c r="AL109" s="518"/>
      <c r="AM109" s="518"/>
      <c r="AN109" s="518"/>
      <c r="AO109" s="518"/>
      <c r="AP109" s="518"/>
      <c r="AQ109" s="518"/>
      <c r="AR109" s="518"/>
      <c r="AS109" s="518"/>
      <c r="AT109" s="518"/>
      <c r="AU109" s="518"/>
      <c r="AV109" s="518"/>
      <c r="AW109" s="518"/>
      <c r="AX109" s="518"/>
      <c r="AY109" s="518"/>
      <c r="AZ109" s="518"/>
      <c r="BA109" s="518"/>
      <c r="BB109" s="518"/>
      <c r="BC109" s="518"/>
      <c r="BD109" s="518"/>
      <c r="BE109" s="518"/>
      <c r="BF109" s="561"/>
    </row>
    <row r="110" spans="2:25" s="503" customFormat="1" ht="18" customHeight="1" thickTop="1">
      <c r="B110" s="450"/>
      <c r="C110" s="450"/>
      <c r="D110" s="451"/>
      <c r="E110" s="452"/>
      <c r="F110" s="452"/>
      <c r="G110" s="452"/>
      <c r="H110" s="452"/>
      <c r="I110" s="452"/>
      <c r="J110" s="852"/>
      <c r="K110" s="853"/>
      <c r="L110" s="853"/>
      <c r="M110" s="853"/>
      <c r="N110" s="539"/>
      <c r="O110" s="450"/>
      <c r="P110" s="540"/>
      <c r="Q110" s="540"/>
      <c r="R110" s="541"/>
      <c r="S110" s="506"/>
      <c r="T110" s="506"/>
      <c r="U110" s="506"/>
      <c r="V110" s="506"/>
      <c r="W110" s="506"/>
      <c r="X110" s="506"/>
      <c r="Y110" s="506"/>
    </row>
    <row r="111" s="506" customFormat="1" ht="18" customHeight="1"/>
    <row r="112" s="506" customFormat="1" ht="18" customHeight="1"/>
    <row r="113" s="506" customFormat="1" ht="18" customHeight="1"/>
    <row r="114" s="506" customFormat="1" ht="18" customHeight="1"/>
    <row r="115" s="506" customFormat="1" ht="18" customHeight="1"/>
    <row r="116" s="506" customFormat="1" ht="18" customHeight="1"/>
    <row r="117" s="506" customFormat="1" ht="15"/>
    <row r="118" s="506" customFormat="1" ht="15"/>
    <row r="119" s="506" customFormat="1" ht="15"/>
    <row r="120" s="506" customFormat="1" ht="15"/>
    <row r="121" s="506" customFormat="1" ht="15"/>
    <row r="122" s="506" customFormat="1" ht="15"/>
    <row r="123" s="64" customFormat="1" ht="13.5"/>
    <row r="124" s="64" customFormat="1" ht="13.5"/>
    <row r="125" s="64" customFormat="1" ht="13.5"/>
    <row r="126" s="64" customFormat="1" ht="13.5"/>
    <row r="127" s="64" customFormat="1" ht="13.5"/>
    <row r="128" s="64" customFormat="1" ht="13.5"/>
    <row r="129" s="64" customFormat="1" ht="13.5"/>
    <row r="130" s="64" customFormat="1" ht="13.5"/>
    <row r="131" s="64" customFormat="1" ht="13.5"/>
    <row r="132" s="64" customFormat="1" ht="13.5"/>
    <row r="133" s="64" customFormat="1" ht="13.5"/>
    <row r="134" s="64" customFormat="1" ht="13.5"/>
    <row r="135" s="64" customFormat="1" ht="13.5"/>
    <row r="136" s="64" customFormat="1" ht="13.5"/>
    <row r="137" s="64" customFormat="1" ht="13.5"/>
    <row r="138" s="64" customFormat="1" ht="13.5"/>
    <row r="139" s="64" customFormat="1" ht="13.5"/>
    <row r="140" s="64" customFormat="1" ht="13.5"/>
    <row r="141" s="64" customFormat="1" ht="13.5"/>
    <row r="142" s="64" customFormat="1" ht="13.5"/>
    <row r="143" s="64" customFormat="1" ht="13.5"/>
    <row r="144" s="64" customFormat="1" ht="13.5"/>
    <row r="145" s="64" customFormat="1" ht="13.5"/>
    <row r="146" s="64" customFormat="1" ht="13.5"/>
    <row r="147" s="64" customFormat="1" ht="13.5"/>
    <row r="148" s="64" customFormat="1" ht="13.5"/>
    <row r="149" s="64" customFormat="1" ht="13.5"/>
    <row r="150" s="64" customFormat="1" ht="13.5"/>
    <row r="151" s="64" customFormat="1" ht="13.5"/>
    <row r="152" s="64" customFormat="1" ht="13.5"/>
    <row r="153" s="64" customFormat="1" ht="13.5"/>
    <row r="154" s="64" customFormat="1" ht="13.5"/>
    <row r="155" s="64" customFormat="1" ht="13.5"/>
    <row r="156" s="64" customFormat="1" ht="13.5"/>
    <row r="157" s="64" customFormat="1" ht="13.5"/>
    <row r="158" s="64" customFormat="1" ht="13.5"/>
    <row r="159" s="64" customFormat="1" ht="13.5"/>
    <row r="160" s="64" customFormat="1" ht="13.5"/>
    <row r="161" s="64" customFormat="1" ht="13.5"/>
    <row r="162" s="64" customFormat="1" ht="13.5"/>
    <row r="163" s="64" customFormat="1" ht="13.5"/>
    <row r="164" s="64" customFormat="1" ht="13.5"/>
    <row r="165" s="64" customFormat="1" ht="13.5"/>
    <row r="166" s="64" customFormat="1" ht="13.5"/>
    <row r="167" s="64" customFormat="1" ht="13.5"/>
    <row r="168" s="64" customFormat="1" ht="13.5"/>
    <row r="169" s="64" customFormat="1" ht="13.5"/>
    <row r="170" s="64" customFormat="1" ht="13.5"/>
    <row r="171" s="64" customFormat="1" ht="13.5"/>
    <row r="172" s="64" customFormat="1" ht="13.5"/>
    <row r="173" s="64" customFormat="1" ht="13.5"/>
    <row r="174" s="64" customFormat="1" ht="13.5"/>
    <row r="175" s="64" customFormat="1" ht="13.5"/>
    <row r="176" s="64" customFormat="1" ht="13.5"/>
    <row r="177" s="64" customFormat="1" ht="13.5"/>
    <row r="178" s="64" customFormat="1" ht="13.5"/>
    <row r="179" s="64" customFormat="1" ht="13.5"/>
    <row r="180" s="64" customFormat="1" ht="13.5"/>
    <row r="181" s="64" customFormat="1" ht="13.5"/>
    <row r="182" s="64" customFormat="1" ht="13.5"/>
    <row r="183" s="64" customFormat="1" ht="13.5"/>
    <row r="184" s="64" customFormat="1" ht="13.5"/>
    <row r="185" s="64" customFormat="1" ht="13.5"/>
    <row r="186" s="64" customFormat="1" ht="13.5"/>
    <row r="187" s="64" customFormat="1" ht="13.5"/>
    <row r="188" s="64" customFormat="1" ht="13.5"/>
    <row r="189" s="64" customFormat="1" ht="13.5"/>
    <row r="190" s="64" customFormat="1" ht="13.5"/>
    <row r="191" s="64" customFormat="1" ht="13.5"/>
    <row r="192" s="64" customFormat="1" ht="13.5"/>
    <row r="193" s="64" customFormat="1" ht="13.5"/>
    <row r="194" s="64" customFormat="1" ht="13.5"/>
    <row r="195" s="64" customFormat="1" ht="13.5"/>
    <row r="196" s="64" customFormat="1" ht="13.5"/>
    <row r="197" s="64" customFormat="1" ht="13.5"/>
    <row r="198" s="64" customFormat="1" ht="13.5"/>
    <row r="199" s="64" customFormat="1" ht="13.5"/>
    <row r="200" s="64" customFormat="1" ht="13.5"/>
    <row r="201" s="64" customFormat="1" ht="13.5"/>
    <row r="202" s="64" customFormat="1" ht="13.5"/>
    <row r="203" s="64" customFormat="1" ht="13.5"/>
    <row r="204" s="64" customFormat="1" ht="13.5"/>
    <row r="205" s="64" customFormat="1" ht="13.5"/>
    <row r="206" s="64" customFormat="1" ht="13.5"/>
    <row r="207" s="64" customFormat="1" ht="13.5"/>
    <row r="208" s="64" customFormat="1" ht="13.5"/>
    <row r="209" s="64" customFormat="1" ht="13.5"/>
    <row r="210" s="64" customFormat="1" ht="13.5"/>
    <row r="211" s="64" customFormat="1" ht="13.5"/>
    <row r="212" s="64" customFormat="1" ht="13.5"/>
    <row r="213" s="64" customFormat="1" ht="13.5"/>
    <row r="214" s="64" customFormat="1" ht="13.5"/>
    <row r="215" s="64" customFormat="1" ht="13.5"/>
    <row r="216" s="64" customFormat="1" ht="13.5"/>
    <row r="217" s="64" customFormat="1" ht="13.5"/>
    <row r="218" s="64" customFormat="1" ht="13.5"/>
    <row r="219" s="64" customFormat="1" ht="13.5"/>
    <row r="220" s="64" customFormat="1" ht="13.5"/>
    <row r="221" s="64" customFormat="1" ht="13.5"/>
    <row r="222" s="64" customFormat="1" ht="13.5"/>
    <row r="223" s="64" customFormat="1" ht="13.5"/>
    <row r="224" s="64" customFormat="1" ht="13.5"/>
    <row r="225" s="64" customFormat="1" ht="13.5"/>
    <row r="226" s="64" customFormat="1" ht="13.5"/>
    <row r="227" s="64" customFormat="1" ht="13.5"/>
    <row r="228" s="64" customFormat="1" ht="13.5"/>
    <row r="229" s="64" customFormat="1" ht="13.5"/>
    <row r="230" s="64" customFormat="1" ht="13.5"/>
    <row r="231" s="64" customFormat="1" ht="13.5"/>
    <row r="232" s="64" customFormat="1" ht="13.5"/>
    <row r="233" s="64" customFormat="1" ht="13.5"/>
    <row r="234" s="64" customFormat="1" ht="13.5"/>
    <row r="235" s="64" customFormat="1" ht="13.5"/>
    <row r="236" s="64" customFormat="1" ht="13.5"/>
    <row r="237" s="64" customFormat="1" ht="13.5"/>
    <row r="238" s="64" customFormat="1" ht="13.5"/>
    <row r="239" s="64" customFormat="1" ht="13.5"/>
    <row r="240" s="64" customFormat="1" ht="13.5"/>
    <row r="241" s="64" customFormat="1" ht="13.5"/>
    <row r="242" s="64" customFormat="1" ht="13.5"/>
    <row r="243" s="64" customFormat="1" ht="13.5"/>
    <row r="244" s="64" customFormat="1" ht="13.5"/>
    <row r="245" s="64" customFormat="1" ht="13.5"/>
    <row r="246" s="64" customFormat="1" ht="13.5"/>
    <row r="247" s="64" customFormat="1" ht="13.5"/>
    <row r="248" s="64" customFormat="1" ht="13.5"/>
    <row r="249" s="64" customFormat="1" ht="13.5"/>
    <row r="250" s="64" customFormat="1" ht="13.5"/>
    <row r="251" s="64" customFormat="1" ht="13.5"/>
    <row r="252" s="64" customFormat="1" ht="13.5"/>
    <row r="253" s="64" customFormat="1" ht="13.5"/>
    <row r="254" s="64" customFormat="1" ht="13.5"/>
    <row r="255" s="64" customFormat="1" ht="13.5"/>
    <row r="256" s="64" customFormat="1" ht="13.5"/>
    <row r="257" s="64" customFormat="1" ht="13.5"/>
    <row r="258" s="64" customFormat="1" ht="13.5"/>
    <row r="259" s="64" customFormat="1" ht="13.5"/>
    <row r="260" s="64" customFormat="1" ht="13.5"/>
    <row r="261" s="64" customFormat="1" ht="13.5"/>
    <row r="262" s="64" customFormat="1" ht="13.5"/>
    <row r="263" s="64" customFormat="1" ht="13.5"/>
    <row r="264" s="64" customFormat="1" ht="13.5"/>
    <row r="265" s="64" customFormat="1" ht="13.5"/>
    <row r="266" s="64" customFormat="1" ht="13.5"/>
    <row r="267" s="64" customFormat="1" ht="13.5"/>
    <row r="268" s="64" customFormat="1" ht="13.5"/>
    <row r="269" s="64" customFormat="1" ht="13.5"/>
    <row r="270" s="64" customFormat="1" ht="13.5"/>
    <row r="271" s="64" customFormat="1" ht="13.5"/>
    <row r="272" s="64" customFormat="1" ht="13.5"/>
    <row r="273" s="64" customFormat="1" ht="13.5"/>
    <row r="274" s="64" customFormat="1" ht="13.5"/>
    <row r="275" s="64" customFormat="1" ht="13.5"/>
    <row r="276" s="64" customFormat="1" ht="13.5"/>
    <row r="277" s="64" customFormat="1" ht="13.5"/>
    <row r="278" s="64" customFormat="1" ht="13.5"/>
    <row r="279" s="64" customFormat="1" ht="13.5"/>
    <row r="280" s="64" customFormat="1" ht="13.5"/>
    <row r="281" s="64" customFormat="1" ht="13.5"/>
    <row r="282" s="64" customFormat="1" ht="13.5"/>
    <row r="283" s="64" customFormat="1" ht="13.5"/>
    <row r="284" s="64" customFormat="1" ht="13.5"/>
    <row r="285" s="64" customFormat="1" ht="13.5"/>
    <row r="286" s="64" customFormat="1" ht="13.5"/>
    <row r="287" s="64" customFormat="1" ht="13.5"/>
    <row r="288" s="64" customFormat="1" ht="13.5"/>
    <row r="289" s="64" customFormat="1" ht="13.5"/>
    <row r="290" s="64" customFormat="1" ht="13.5"/>
    <row r="291" s="64" customFormat="1" ht="13.5"/>
    <row r="292" s="64" customFormat="1" ht="13.5"/>
    <row r="293" s="64" customFormat="1" ht="13.5"/>
    <row r="294" s="64" customFormat="1" ht="13.5"/>
    <row r="295" ht="13.5">
      <c r="Q295" s="64"/>
    </row>
    <row r="296" ht="13.5">
      <c r="Q296" s="64"/>
    </row>
    <row r="297" ht="13.5">
      <c r="Q297" s="64"/>
    </row>
    <row r="298" ht="13.5">
      <c r="Q298" s="64"/>
    </row>
    <row r="299" ht="13.5">
      <c r="Q299" s="64"/>
    </row>
  </sheetData>
  <sheetProtection password="CD08" sheet="1"/>
  <mergeCells count="27">
    <mergeCell ref="C25:R25"/>
    <mergeCell ref="E28:E29"/>
    <mergeCell ref="F28:F29"/>
    <mergeCell ref="G28:G29"/>
    <mergeCell ref="H28:H29"/>
    <mergeCell ref="I28:I29"/>
    <mergeCell ref="J28:J29"/>
    <mergeCell ref="J110:M110"/>
    <mergeCell ref="K40:N40"/>
    <mergeCell ref="B5:C5"/>
    <mergeCell ref="B6:C6"/>
    <mergeCell ref="E11:N11"/>
    <mergeCell ref="D49:F49"/>
    <mergeCell ref="M28:M29"/>
    <mergeCell ref="D50:F50"/>
    <mergeCell ref="C10:G10"/>
    <mergeCell ref="C43:S43"/>
    <mergeCell ref="K38:N38"/>
    <mergeCell ref="I23:L23"/>
    <mergeCell ref="E13:E14"/>
    <mergeCell ref="F13:F14"/>
    <mergeCell ref="G13:G14"/>
    <mergeCell ref="H13:H14"/>
    <mergeCell ref="N28:N29"/>
    <mergeCell ref="L28:L29"/>
    <mergeCell ref="I13:I14"/>
    <mergeCell ref="J13:J14"/>
  </mergeCells>
  <printOptions/>
  <pageMargins left="0.75" right="0.75" top="0.64" bottom="0.64" header="0.5" footer="0.5"/>
  <pageSetup fitToHeight="2" fitToWidth="1" horizontalDpi="600" verticalDpi="600" orientation="landscape" scale="13" r:id="rId1"/>
  <headerFooter alignWithMargins="0">
    <oddHeader>&amp;L&amp;D&amp;R&amp;F</oddHeader>
  </headerFooter>
</worksheet>
</file>

<file path=xl/worksheets/sheet12.xml><?xml version="1.0" encoding="utf-8"?>
<worksheet xmlns="http://schemas.openxmlformats.org/spreadsheetml/2006/main" xmlns:r="http://schemas.openxmlformats.org/officeDocument/2006/relationships">
  <dimension ref="A1:Q218"/>
  <sheetViews>
    <sheetView zoomScale="115" zoomScaleNormal="115" zoomScalePageLayoutView="0" workbookViewId="0" topLeftCell="A1">
      <selection activeCell="A1" sqref="A1"/>
    </sheetView>
  </sheetViews>
  <sheetFormatPr defaultColWidth="9.7109375" defaultRowHeight="12.75"/>
  <cols>
    <col min="1" max="2" width="3.57421875" style="119" customWidth="1"/>
    <col min="3" max="3" width="31.57421875" style="119" customWidth="1"/>
    <col min="4" max="4" width="26.7109375" style="119" customWidth="1"/>
    <col min="5" max="7" width="15.57421875" style="121" customWidth="1"/>
    <col min="8" max="9" width="15.57421875" style="119" customWidth="1"/>
    <col min="10" max="10" width="19.140625" style="119" customWidth="1"/>
    <col min="11" max="11" width="22.00390625" style="119" customWidth="1"/>
    <col min="12" max="12" width="3.57421875" style="119" customWidth="1"/>
    <col min="13" max="13" width="16.421875" style="119" customWidth="1"/>
    <col min="14" max="14" width="15.00390625" style="119" customWidth="1"/>
    <col min="15" max="15" width="16.00390625" style="119" customWidth="1"/>
    <col min="16" max="16" width="19.140625" style="119" customWidth="1"/>
    <col min="17" max="17" width="17.57421875" style="119" customWidth="1"/>
    <col min="18" max="18" width="15.8515625" style="119" customWidth="1"/>
    <col min="19" max="19" width="16.8515625" style="119" customWidth="1"/>
    <col min="20" max="20" width="16.28125" style="119" customWidth="1"/>
    <col min="21" max="55" width="14.28125" style="119" customWidth="1"/>
    <col min="56" max="16384" width="9.7109375" style="119" customWidth="1"/>
  </cols>
  <sheetData>
    <row r="1" spans="2:4" ht="21">
      <c r="B1" s="297" t="s">
        <v>326</v>
      </c>
      <c r="D1" s="122"/>
    </row>
    <row r="2" spans="2:11" ht="24" customHeight="1">
      <c r="B2" s="873" t="s">
        <v>461</v>
      </c>
      <c r="C2" s="873"/>
      <c r="D2" s="873"/>
      <c r="E2" s="873"/>
      <c r="F2" s="873"/>
      <c r="G2" s="873"/>
      <c r="H2" s="873"/>
      <c r="I2" s="873"/>
      <c r="J2" s="873"/>
      <c r="K2" s="873"/>
    </row>
    <row r="3" ht="18" customHeight="1">
      <c r="A3" s="122"/>
    </row>
    <row r="4" spans="1:5" ht="18">
      <c r="A4" s="386"/>
      <c r="B4" s="158" t="s">
        <v>422</v>
      </c>
      <c r="C4" s="159"/>
      <c r="D4" s="159"/>
      <c r="E4" s="385"/>
    </row>
    <row r="5" spans="2:5" ht="20.25">
      <c r="B5" s="159"/>
      <c r="C5" s="159" t="s">
        <v>462</v>
      </c>
      <c r="D5" s="159"/>
      <c r="E5" s="385"/>
    </row>
    <row r="6" spans="1:5" ht="18" customHeight="1" thickBot="1">
      <c r="A6" s="122"/>
      <c r="B6" s="159"/>
      <c r="C6" s="159"/>
      <c r="D6" s="159"/>
      <c r="E6" s="385"/>
    </row>
    <row r="7" spans="1:5" ht="18" customHeight="1" thickTop="1">
      <c r="A7" s="122"/>
      <c r="B7" s="160" t="s">
        <v>24</v>
      </c>
      <c r="C7" s="321"/>
      <c r="D7" s="367"/>
      <c r="E7" s="322"/>
    </row>
    <row r="8" spans="1:5" ht="18" customHeight="1">
      <c r="A8" s="122"/>
      <c r="B8" s="784" t="s">
        <v>294</v>
      </c>
      <c r="C8" s="785"/>
      <c r="D8" s="323"/>
      <c r="E8" s="325"/>
    </row>
    <row r="9" spans="1:5" ht="18" customHeight="1">
      <c r="A9" s="122"/>
      <c r="B9" s="784" t="s">
        <v>352</v>
      </c>
      <c r="C9" s="785"/>
      <c r="D9" s="432"/>
      <c r="E9" s="325"/>
    </row>
    <row r="10" spans="2:17" ht="18" customHeight="1" thickBot="1">
      <c r="B10" s="164"/>
      <c r="C10" s="165"/>
      <c r="D10" s="165"/>
      <c r="E10" s="326"/>
      <c r="F10" s="125"/>
      <c r="G10" s="125"/>
      <c r="H10" s="126"/>
      <c r="I10" s="126"/>
      <c r="J10" s="126"/>
      <c r="K10" s="126"/>
      <c r="L10" s="126"/>
      <c r="M10" s="126"/>
      <c r="N10" s="126"/>
      <c r="O10" s="126"/>
      <c r="P10" s="126"/>
      <c r="Q10" s="126"/>
    </row>
    <row r="11" s="91" customFormat="1" ht="18" customHeight="1" thickBot="1" thickTop="1">
      <c r="L11" s="368"/>
    </row>
    <row r="12" spans="2:12" s="103" customFormat="1" ht="18" thickTop="1">
      <c r="B12" s="140" t="s">
        <v>315</v>
      </c>
      <c r="C12" s="404"/>
      <c r="D12" s="404"/>
      <c r="E12" s="404"/>
      <c r="F12" s="404"/>
      <c r="G12" s="405"/>
      <c r="H12" s="405"/>
      <c r="I12" s="405"/>
      <c r="J12" s="405"/>
      <c r="K12" s="405"/>
      <c r="L12" s="406"/>
    </row>
    <row r="13" spans="2:12" s="91" customFormat="1" ht="27" customHeight="1">
      <c r="B13" s="96"/>
      <c r="C13" s="336"/>
      <c r="D13" s="337"/>
      <c r="E13" s="337"/>
      <c r="F13" s="337"/>
      <c r="G13" s="97"/>
      <c r="H13" s="97"/>
      <c r="I13" s="97"/>
      <c r="J13" s="97"/>
      <c r="K13" s="97"/>
      <c r="L13" s="98"/>
    </row>
    <row r="14" spans="2:12" s="91" customFormat="1" ht="18">
      <c r="B14" s="309"/>
      <c r="C14" s="407"/>
      <c r="D14" s="408"/>
      <c r="E14" s="387" t="s">
        <v>303</v>
      </c>
      <c r="F14" s="388" t="s">
        <v>465</v>
      </c>
      <c r="G14" s="327" t="s">
        <v>39</v>
      </c>
      <c r="H14" s="876" t="s">
        <v>304</v>
      </c>
      <c r="I14" s="327" t="s">
        <v>43</v>
      </c>
      <c r="J14" s="869" t="s">
        <v>398</v>
      </c>
      <c r="K14" s="870"/>
      <c r="L14" s="316"/>
    </row>
    <row r="15" spans="2:12" s="90" customFormat="1" ht="36">
      <c r="B15" s="409"/>
      <c r="C15" s="336"/>
      <c r="D15" s="410"/>
      <c r="E15" s="135" t="s">
        <v>463</v>
      </c>
      <c r="F15" s="172" t="s">
        <v>464</v>
      </c>
      <c r="G15" s="168" t="s">
        <v>466</v>
      </c>
      <c r="H15" s="877"/>
      <c r="I15" s="168" t="s">
        <v>238</v>
      </c>
      <c r="J15" s="389" t="s">
        <v>467</v>
      </c>
      <c r="K15" s="389" t="s">
        <v>468</v>
      </c>
      <c r="L15" s="411"/>
    </row>
    <row r="16" spans="2:12" s="91" customFormat="1" ht="15">
      <c r="B16" s="96"/>
      <c r="C16" s="874" t="s">
        <v>230</v>
      </c>
      <c r="D16" s="875"/>
      <c r="E16" s="390"/>
      <c r="F16" s="391"/>
      <c r="G16" s="392"/>
      <c r="H16" s="393"/>
      <c r="I16" s="394"/>
      <c r="J16" s="391"/>
      <c r="K16" s="394"/>
      <c r="L16" s="317"/>
    </row>
    <row r="17" spans="2:12" s="91" customFormat="1" ht="15">
      <c r="B17" s="96"/>
      <c r="C17" s="871"/>
      <c r="D17" s="872"/>
      <c r="E17" s="400"/>
      <c r="F17" s="179"/>
      <c r="G17" s="395">
        <v>0.6</v>
      </c>
      <c r="H17" s="401"/>
      <c r="I17" s="401"/>
      <c r="J17" s="433">
        <f>E17*F17*G17*H17/1000-I17</f>
        <v>0</v>
      </c>
      <c r="K17" s="418">
        <f>J17*GWPCH4</f>
        <v>0</v>
      </c>
      <c r="L17" s="317"/>
    </row>
    <row r="18" spans="2:12" s="91" customFormat="1" ht="15">
      <c r="B18" s="96"/>
      <c r="C18" s="871"/>
      <c r="D18" s="872"/>
      <c r="E18" s="400"/>
      <c r="F18" s="179"/>
      <c r="G18" s="395">
        <v>0.6</v>
      </c>
      <c r="H18" s="401"/>
      <c r="I18" s="401"/>
      <c r="J18" s="433">
        <f>E18*F18*G18*H18/1000-I18</f>
        <v>0</v>
      </c>
      <c r="K18" s="418">
        <f>J18*GWPCH4</f>
        <v>0</v>
      </c>
      <c r="L18" s="317"/>
    </row>
    <row r="19" spans="2:12" s="91" customFormat="1" ht="15">
      <c r="B19" s="96"/>
      <c r="C19" s="871"/>
      <c r="D19" s="872"/>
      <c r="E19" s="400"/>
      <c r="F19" s="179"/>
      <c r="G19" s="395">
        <v>0.6</v>
      </c>
      <c r="H19" s="401"/>
      <c r="I19" s="401"/>
      <c r="J19" s="433">
        <f>E19*F19*G19*H19/1000-I19</f>
        <v>0</v>
      </c>
      <c r="K19" s="418">
        <f>J19*GWPCH4</f>
        <v>0</v>
      </c>
      <c r="L19" s="317"/>
    </row>
    <row r="20" spans="2:12" s="91" customFormat="1" ht="15">
      <c r="B20" s="96"/>
      <c r="C20" s="871"/>
      <c r="D20" s="872"/>
      <c r="E20" s="400"/>
      <c r="F20" s="179"/>
      <c r="G20" s="395">
        <v>0.6</v>
      </c>
      <c r="H20" s="401"/>
      <c r="I20" s="401"/>
      <c r="J20" s="433">
        <f>E20*F20*G20*H20/1000-I20</f>
        <v>0</v>
      </c>
      <c r="K20" s="418">
        <f>J20*GWPCH4</f>
        <v>0</v>
      </c>
      <c r="L20" s="317"/>
    </row>
    <row r="21" spans="2:12" s="91" customFormat="1" ht="15">
      <c r="B21" s="96"/>
      <c r="C21" s="871"/>
      <c r="D21" s="872"/>
      <c r="E21" s="400"/>
      <c r="F21" s="179"/>
      <c r="G21" s="395">
        <v>0.6</v>
      </c>
      <c r="H21" s="401"/>
      <c r="I21" s="401"/>
      <c r="J21" s="433">
        <f>E21*F21*G21*H21/1000-I21</f>
        <v>0</v>
      </c>
      <c r="K21" s="418">
        <f>J21*GWPCH4</f>
        <v>0</v>
      </c>
      <c r="L21" s="317"/>
    </row>
    <row r="22" spans="2:12" s="91" customFormat="1" ht="15">
      <c r="B22" s="107"/>
      <c r="C22" s="108"/>
      <c r="D22" s="143"/>
      <c r="E22" s="143"/>
      <c r="F22" s="143"/>
      <c r="G22" s="143"/>
      <c r="H22" s="143"/>
      <c r="I22" s="108"/>
      <c r="J22" s="336"/>
      <c r="K22" s="108"/>
      <c r="L22" s="412"/>
    </row>
    <row r="23" spans="2:12" s="91" customFormat="1" ht="20.25" customHeight="1">
      <c r="B23" s="107"/>
      <c r="C23" s="108" t="s">
        <v>469</v>
      </c>
      <c r="D23" s="108"/>
      <c r="E23" s="108"/>
      <c r="F23" s="108"/>
      <c r="G23" s="414"/>
      <c r="H23" s="854" t="s">
        <v>317</v>
      </c>
      <c r="I23" s="868"/>
      <c r="J23" s="421">
        <f>SUM(J17:J21)</f>
        <v>0</v>
      </c>
      <c r="K23" s="421">
        <f>SUM(K17:K21)</f>
        <v>0</v>
      </c>
      <c r="L23" s="413"/>
    </row>
    <row r="24" spans="2:12" s="91" customFormat="1" ht="18" customHeight="1">
      <c r="B24" s="96"/>
      <c r="C24" s="336" t="s">
        <v>470</v>
      </c>
      <c r="D24" s="108"/>
      <c r="E24" s="108"/>
      <c r="F24" s="108"/>
      <c r="G24" s="143"/>
      <c r="H24" s="108"/>
      <c r="I24" s="108"/>
      <c r="J24" s="108"/>
      <c r="K24" s="108"/>
      <c r="L24" s="98"/>
    </row>
    <row r="25" spans="2:12" s="91" customFormat="1" ht="18" customHeight="1">
      <c r="B25" s="96"/>
      <c r="C25" s="108" t="s">
        <v>471</v>
      </c>
      <c r="D25" s="108"/>
      <c r="E25" s="108"/>
      <c r="F25" s="108"/>
      <c r="G25" s="108"/>
      <c r="H25" s="878" t="s">
        <v>309</v>
      </c>
      <c r="I25" s="879"/>
      <c r="J25" s="879"/>
      <c r="K25" s="880"/>
      <c r="L25" s="98"/>
    </row>
    <row r="26" spans="2:12" s="91" customFormat="1" ht="18" customHeight="1">
      <c r="B26" s="96"/>
      <c r="C26" s="108" t="s">
        <v>472</v>
      </c>
      <c r="D26" s="108"/>
      <c r="E26" s="108"/>
      <c r="F26" s="108"/>
      <c r="G26" s="108"/>
      <c r="H26" s="396" t="s">
        <v>305</v>
      </c>
      <c r="I26" s="396"/>
      <c r="J26" s="396"/>
      <c r="K26" s="346" t="s">
        <v>304</v>
      </c>
      <c r="L26" s="98"/>
    </row>
    <row r="27" spans="2:12" s="91" customFormat="1" ht="18" customHeight="1">
      <c r="B27" s="96"/>
      <c r="C27" s="108" t="s">
        <v>473</v>
      </c>
      <c r="D27" s="108"/>
      <c r="E27" s="108"/>
      <c r="F27" s="108"/>
      <c r="G27" s="108"/>
      <c r="H27" s="397" t="s">
        <v>306</v>
      </c>
      <c r="I27" s="398"/>
      <c r="J27" s="399"/>
      <c r="K27" s="332">
        <v>0.1</v>
      </c>
      <c r="L27" s="98"/>
    </row>
    <row r="28" spans="2:12" s="91" customFormat="1" ht="18" customHeight="1">
      <c r="B28" s="96"/>
      <c r="C28" s="336" t="s">
        <v>474</v>
      </c>
      <c r="D28" s="108"/>
      <c r="E28" s="143"/>
      <c r="F28" s="143"/>
      <c r="G28" s="108"/>
      <c r="H28" s="397" t="s">
        <v>307</v>
      </c>
      <c r="I28" s="398"/>
      <c r="J28" s="399"/>
      <c r="K28" s="332">
        <v>0</v>
      </c>
      <c r="L28" s="98"/>
    </row>
    <row r="29" spans="2:12" s="91" customFormat="1" ht="18" customHeight="1">
      <c r="B29" s="96"/>
      <c r="C29" s="108"/>
      <c r="D29" s="108"/>
      <c r="E29" s="108"/>
      <c r="F29" s="108"/>
      <c r="G29" s="108"/>
      <c r="H29" s="397" t="s">
        <v>308</v>
      </c>
      <c r="I29" s="398"/>
      <c r="J29" s="399"/>
      <c r="K29" s="332">
        <v>0.3</v>
      </c>
      <c r="L29" s="98"/>
    </row>
    <row r="30" spans="2:12" s="91" customFormat="1" ht="18" customHeight="1">
      <c r="B30" s="96"/>
      <c r="C30" s="336" t="s">
        <v>475</v>
      </c>
      <c r="D30" s="108"/>
      <c r="E30" s="108"/>
      <c r="F30" s="108"/>
      <c r="G30" s="143"/>
      <c r="H30" s="397" t="s">
        <v>310</v>
      </c>
      <c r="I30" s="398"/>
      <c r="J30" s="399"/>
      <c r="K30" s="332">
        <v>0.8</v>
      </c>
      <c r="L30" s="98"/>
    </row>
    <row r="31" spans="2:12" s="91" customFormat="1" ht="18" customHeight="1">
      <c r="B31" s="96"/>
      <c r="C31" s="415"/>
      <c r="D31" s="415"/>
      <c r="E31" s="415"/>
      <c r="F31" s="415"/>
      <c r="G31" s="108"/>
      <c r="H31" s="397" t="s">
        <v>311</v>
      </c>
      <c r="I31" s="398"/>
      <c r="J31" s="399"/>
      <c r="K31" s="332">
        <v>0.8</v>
      </c>
      <c r="L31" s="98"/>
    </row>
    <row r="32" spans="2:12" s="91" customFormat="1" ht="18" customHeight="1">
      <c r="B32" s="96"/>
      <c r="C32" s="415"/>
      <c r="D32" s="415"/>
      <c r="E32" s="415"/>
      <c r="F32" s="415"/>
      <c r="G32" s="108"/>
      <c r="H32" s="397" t="s">
        <v>312</v>
      </c>
      <c r="I32" s="398"/>
      <c r="J32" s="399"/>
      <c r="K32" s="332">
        <v>0.2</v>
      </c>
      <c r="L32" s="98"/>
    </row>
    <row r="33" spans="2:12" s="91" customFormat="1" ht="18" customHeight="1">
      <c r="B33" s="96"/>
      <c r="C33" s="108"/>
      <c r="D33" s="108"/>
      <c r="E33" s="108"/>
      <c r="F33" s="108"/>
      <c r="G33" s="108"/>
      <c r="H33" s="881" t="s">
        <v>313</v>
      </c>
      <c r="I33" s="882"/>
      <c r="J33" s="883"/>
      <c r="K33" s="332">
        <v>0.8</v>
      </c>
      <c r="L33" s="98"/>
    </row>
    <row r="34" spans="2:12" s="91" customFormat="1" ht="18" customHeight="1" thickBot="1">
      <c r="B34" s="99"/>
      <c r="C34" s="100"/>
      <c r="D34" s="100"/>
      <c r="E34" s="100"/>
      <c r="F34" s="100"/>
      <c r="G34" s="100"/>
      <c r="H34" s="100"/>
      <c r="I34" s="100"/>
      <c r="J34" s="100"/>
      <c r="K34" s="100"/>
      <c r="L34" s="102"/>
    </row>
    <row r="35" s="91" customFormat="1" ht="18" customHeight="1" thickBot="1" thickTop="1"/>
    <row r="36" spans="2:12" s="103" customFormat="1" ht="18" thickTop="1">
      <c r="B36" s="140" t="s">
        <v>316</v>
      </c>
      <c r="C36" s="404"/>
      <c r="D36" s="404"/>
      <c r="E36" s="404"/>
      <c r="F36" s="404"/>
      <c r="G36" s="405"/>
      <c r="H36" s="405"/>
      <c r="I36" s="405"/>
      <c r="J36" s="405"/>
      <c r="K36" s="405"/>
      <c r="L36" s="406"/>
    </row>
    <row r="37" spans="2:12" s="91" customFormat="1" ht="15.75" customHeight="1">
      <c r="B37" s="96"/>
      <c r="C37" s="97"/>
      <c r="D37" s="97"/>
      <c r="E37" s="97"/>
      <c r="F37" s="97"/>
      <c r="G37" s="97"/>
      <c r="H37" s="97"/>
      <c r="I37" s="97"/>
      <c r="J37" s="97"/>
      <c r="K37" s="97"/>
      <c r="L37" s="98"/>
    </row>
    <row r="38" spans="2:12" s="91" customFormat="1" ht="15.75" customHeight="1">
      <c r="B38" s="96"/>
      <c r="C38" s="108"/>
      <c r="D38" s="108"/>
      <c r="E38" s="387" t="s">
        <v>303</v>
      </c>
      <c r="F38" s="388" t="s">
        <v>476</v>
      </c>
      <c r="G38" s="327" t="s">
        <v>477</v>
      </c>
      <c r="H38" s="869" t="s">
        <v>314</v>
      </c>
      <c r="I38" s="870"/>
      <c r="J38" s="869" t="s">
        <v>399</v>
      </c>
      <c r="K38" s="870"/>
      <c r="L38" s="98"/>
    </row>
    <row r="39" spans="2:12" s="91" customFormat="1" ht="18">
      <c r="B39" s="96"/>
      <c r="C39" s="108"/>
      <c r="D39" s="108"/>
      <c r="E39" s="135" t="s">
        <v>463</v>
      </c>
      <c r="F39" s="172" t="s">
        <v>478</v>
      </c>
      <c r="G39" s="168" t="s">
        <v>479</v>
      </c>
      <c r="H39" s="869" t="s">
        <v>480</v>
      </c>
      <c r="I39" s="870"/>
      <c r="J39" s="389" t="s">
        <v>481</v>
      </c>
      <c r="K39" s="389" t="s">
        <v>468</v>
      </c>
      <c r="L39" s="98"/>
    </row>
    <row r="40" spans="2:12" s="91" customFormat="1" ht="15.75" customHeight="1">
      <c r="B40" s="96"/>
      <c r="C40" s="874" t="s">
        <v>230</v>
      </c>
      <c r="D40" s="875"/>
      <c r="E40" s="402"/>
      <c r="F40" s="391"/>
      <c r="G40" s="392"/>
      <c r="H40" s="403"/>
      <c r="I40" s="402"/>
      <c r="J40" s="391"/>
      <c r="K40" s="394"/>
      <c r="L40" s="98"/>
    </row>
    <row r="41" spans="2:12" s="91" customFormat="1" ht="15.75" customHeight="1">
      <c r="B41" s="96"/>
      <c r="C41" s="871"/>
      <c r="D41" s="872"/>
      <c r="E41" s="179"/>
      <c r="F41" s="179"/>
      <c r="G41" s="179"/>
      <c r="H41" s="866">
        <v>1.571</v>
      </c>
      <c r="I41" s="867"/>
      <c r="J41" s="433">
        <f>E41*F41*G41*H41/1000</f>
        <v>0</v>
      </c>
      <c r="K41" s="418">
        <f>J41*GWPN2O</f>
        <v>0</v>
      </c>
      <c r="L41" s="98"/>
    </row>
    <row r="42" spans="2:12" s="91" customFormat="1" ht="15.75" customHeight="1">
      <c r="B42" s="96"/>
      <c r="C42" s="871"/>
      <c r="D42" s="872"/>
      <c r="E42" s="179"/>
      <c r="F42" s="179"/>
      <c r="G42" s="179"/>
      <c r="H42" s="866">
        <v>1.571</v>
      </c>
      <c r="I42" s="867"/>
      <c r="J42" s="433">
        <f>E42*F42*G42*H42/1000</f>
        <v>0</v>
      </c>
      <c r="K42" s="418">
        <f>J42*GWPN2O</f>
        <v>0</v>
      </c>
      <c r="L42" s="98"/>
    </row>
    <row r="43" spans="2:12" s="91" customFormat="1" ht="15.75" customHeight="1">
      <c r="B43" s="96"/>
      <c r="C43" s="871"/>
      <c r="D43" s="872"/>
      <c r="E43" s="179"/>
      <c r="F43" s="179"/>
      <c r="G43" s="179"/>
      <c r="H43" s="866">
        <v>1.571</v>
      </c>
      <c r="I43" s="867"/>
      <c r="J43" s="433">
        <f>E43*F43*G43*H43/1000</f>
        <v>0</v>
      </c>
      <c r="K43" s="418">
        <f>J43*GWPN2O</f>
        <v>0</v>
      </c>
      <c r="L43" s="98"/>
    </row>
    <row r="44" spans="2:12" s="91" customFormat="1" ht="15.75" customHeight="1">
      <c r="B44" s="96"/>
      <c r="C44" s="871"/>
      <c r="D44" s="872"/>
      <c r="E44" s="179"/>
      <c r="F44" s="179"/>
      <c r="G44" s="179"/>
      <c r="H44" s="866">
        <v>1.571</v>
      </c>
      <c r="I44" s="867"/>
      <c r="J44" s="433">
        <f>E44*F44*G44*H44/1000</f>
        <v>0</v>
      </c>
      <c r="K44" s="418">
        <f>J44*GWPN2O</f>
        <v>0</v>
      </c>
      <c r="L44" s="98"/>
    </row>
    <row r="45" spans="2:12" s="91" customFormat="1" ht="15.75" customHeight="1">
      <c r="B45" s="96"/>
      <c r="C45" s="871"/>
      <c r="D45" s="872"/>
      <c r="E45" s="179"/>
      <c r="F45" s="179"/>
      <c r="G45" s="179"/>
      <c r="H45" s="866">
        <v>1.571</v>
      </c>
      <c r="I45" s="867"/>
      <c r="J45" s="433">
        <f>E45*F45*G45*H45/1000</f>
        <v>0</v>
      </c>
      <c r="K45" s="418">
        <f>J45*GWPN2O</f>
        <v>0</v>
      </c>
      <c r="L45" s="98"/>
    </row>
    <row r="46" spans="2:12" s="91" customFormat="1" ht="15.75" customHeight="1">
      <c r="B46" s="96"/>
      <c r="C46" s="108"/>
      <c r="D46" s="108"/>
      <c r="E46" s="108"/>
      <c r="F46" s="108"/>
      <c r="G46" s="108"/>
      <c r="H46" s="108"/>
      <c r="I46" s="108"/>
      <c r="J46" s="336"/>
      <c r="K46" s="108"/>
      <c r="L46" s="98"/>
    </row>
    <row r="47" spans="2:12" s="91" customFormat="1" ht="15.75" customHeight="1">
      <c r="B47" s="96"/>
      <c r="C47" s="108" t="s">
        <v>469</v>
      </c>
      <c r="D47" s="108"/>
      <c r="E47" s="108"/>
      <c r="F47" s="108"/>
      <c r="G47" s="108"/>
      <c r="H47" s="854" t="s">
        <v>318</v>
      </c>
      <c r="I47" s="868"/>
      <c r="J47" s="421">
        <f>SUM(J41:J45)</f>
        <v>0</v>
      </c>
      <c r="K47" s="421">
        <f>SUM(K41:K45)</f>
        <v>0</v>
      </c>
      <c r="L47" s="98"/>
    </row>
    <row r="48" spans="2:12" s="91" customFormat="1" ht="15.75" customHeight="1">
      <c r="B48" s="96"/>
      <c r="C48" s="336" t="s">
        <v>482</v>
      </c>
      <c r="D48" s="108"/>
      <c r="E48" s="108"/>
      <c r="F48" s="108"/>
      <c r="G48" s="108"/>
      <c r="H48" s="108"/>
      <c r="I48" s="108"/>
      <c r="J48" s="108"/>
      <c r="K48" s="108"/>
      <c r="L48" s="98"/>
    </row>
    <row r="49" spans="2:12" s="91" customFormat="1" ht="15.75" customHeight="1">
      <c r="B49" s="96"/>
      <c r="C49" s="108" t="s">
        <v>483</v>
      </c>
      <c r="D49" s="108"/>
      <c r="E49" s="108"/>
      <c r="F49" s="108"/>
      <c r="G49" s="108"/>
      <c r="H49" s="108"/>
      <c r="I49" s="108"/>
      <c r="J49" s="108"/>
      <c r="K49" s="108"/>
      <c r="L49" s="98"/>
    </row>
    <row r="50" spans="2:12" s="91" customFormat="1" ht="15.75" customHeight="1">
      <c r="B50" s="96"/>
      <c r="C50" s="108" t="s">
        <v>484</v>
      </c>
      <c r="D50" s="108"/>
      <c r="E50" s="108"/>
      <c r="F50" s="108"/>
      <c r="G50" s="108"/>
      <c r="H50" s="108"/>
      <c r="I50" s="108"/>
      <c r="J50" s="108"/>
      <c r="K50" s="108"/>
      <c r="L50" s="98"/>
    </row>
    <row r="51" spans="2:12" s="91" customFormat="1" ht="15.75" customHeight="1">
      <c r="B51" s="96"/>
      <c r="C51" s="108" t="s">
        <v>473</v>
      </c>
      <c r="D51" s="108"/>
      <c r="E51" s="108"/>
      <c r="F51" s="108"/>
      <c r="G51" s="108"/>
      <c r="H51" s="108"/>
      <c r="I51" s="108"/>
      <c r="J51" s="108"/>
      <c r="K51" s="108"/>
      <c r="L51" s="98"/>
    </row>
    <row r="52" spans="2:12" s="91" customFormat="1" ht="15.75" customHeight="1">
      <c r="B52" s="96"/>
      <c r="C52" s="108"/>
      <c r="D52" s="108"/>
      <c r="E52" s="108"/>
      <c r="F52" s="108"/>
      <c r="G52" s="108"/>
      <c r="H52" s="108"/>
      <c r="I52" s="108"/>
      <c r="J52" s="108"/>
      <c r="K52" s="108"/>
      <c r="L52" s="98"/>
    </row>
    <row r="53" spans="2:12" s="91" customFormat="1" ht="18">
      <c r="B53" s="96"/>
      <c r="C53" s="336" t="s">
        <v>485</v>
      </c>
      <c r="D53" s="108"/>
      <c r="E53" s="108"/>
      <c r="F53" s="108"/>
      <c r="G53" s="108"/>
      <c r="H53" s="108"/>
      <c r="I53" s="108"/>
      <c r="J53" s="108"/>
      <c r="K53" s="108"/>
      <c r="L53" s="98"/>
    </row>
    <row r="54" spans="2:12" s="91" customFormat="1" ht="14.25" thickBot="1">
      <c r="B54" s="99"/>
      <c r="C54" s="100"/>
      <c r="D54" s="100"/>
      <c r="E54" s="100"/>
      <c r="F54" s="100"/>
      <c r="G54" s="100"/>
      <c r="H54" s="100"/>
      <c r="I54" s="100"/>
      <c r="J54" s="100"/>
      <c r="K54" s="100"/>
      <c r="L54" s="102"/>
    </row>
    <row r="55" s="91" customFormat="1" ht="14.25" thickTop="1"/>
    <row r="56" s="91" customFormat="1" ht="13.5"/>
    <row r="57" s="91" customFormat="1" ht="13.5"/>
    <row r="58" s="91" customFormat="1" ht="13.5"/>
    <row r="59" s="91" customFormat="1" ht="13.5"/>
    <row r="60" s="91" customFormat="1" ht="13.5"/>
    <row r="61" s="91" customFormat="1" ht="13.5"/>
    <row r="62" s="91" customFormat="1" ht="13.5"/>
    <row r="63" s="91" customFormat="1" ht="13.5"/>
    <row r="64" s="91" customFormat="1" ht="13.5"/>
    <row r="65" s="91" customFormat="1" ht="13.5"/>
    <row r="66" s="91" customFormat="1" ht="13.5"/>
    <row r="67" s="91" customFormat="1" ht="13.5"/>
    <row r="68" s="91" customFormat="1" ht="13.5"/>
    <row r="69" s="91" customFormat="1" ht="13.5"/>
    <row r="70" s="91" customFormat="1" ht="13.5"/>
    <row r="71" s="91" customFormat="1" ht="13.5"/>
    <row r="72" s="91" customFormat="1" ht="13.5"/>
    <row r="73" s="91" customFormat="1" ht="13.5"/>
    <row r="74" s="91" customFormat="1" ht="13.5"/>
    <row r="75" s="91" customFormat="1" ht="13.5"/>
    <row r="76" s="91" customFormat="1" ht="13.5"/>
    <row r="77" s="91" customFormat="1" ht="13.5"/>
    <row r="78" s="91" customFormat="1" ht="13.5"/>
    <row r="79" s="91" customFormat="1" ht="13.5"/>
    <row r="80" s="91" customFormat="1" ht="13.5"/>
    <row r="81" s="91" customFormat="1" ht="13.5"/>
    <row r="82" s="91" customFormat="1" ht="13.5"/>
    <row r="83" s="91" customFormat="1" ht="13.5"/>
    <row r="84" s="91" customFormat="1" ht="13.5"/>
    <row r="85" s="91" customFormat="1" ht="13.5"/>
    <row r="86" s="91" customFormat="1" ht="13.5"/>
    <row r="87" s="91" customFormat="1" ht="13.5"/>
    <row r="88" s="91" customFormat="1" ht="13.5"/>
    <row r="89" s="91" customFormat="1" ht="13.5"/>
    <row r="90" s="91" customFormat="1" ht="13.5"/>
    <row r="91" s="91" customFormat="1" ht="13.5"/>
    <row r="92" s="91" customFormat="1" ht="13.5"/>
    <row r="93" s="91" customFormat="1" ht="13.5"/>
    <row r="94" s="91" customFormat="1" ht="13.5"/>
    <row r="95" s="91" customFormat="1" ht="13.5"/>
    <row r="96" s="91" customFormat="1" ht="13.5"/>
    <row r="97" s="91" customFormat="1" ht="13.5"/>
    <row r="98" s="91" customFormat="1" ht="13.5"/>
    <row r="99" s="91" customFormat="1" ht="13.5"/>
    <row r="100" s="91" customFormat="1" ht="13.5"/>
    <row r="101" s="91" customFormat="1" ht="13.5"/>
    <row r="102" s="91" customFormat="1" ht="13.5"/>
    <row r="103" s="91" customFormat="1" ht="13.5"/>
    <row r="104" s="91" customFormat="1" ht="13.5"/>
    <row r="105" s="91" customFormat="1" ht="13.5"/>
    <row r="106" s="91" customFormat="1" ht="13.5"/>
    <row r="107" s="91" customFormat="1" ht="13.5"/>
    <row r="108" s="91" customFormat="1" ht="13.5"/>
    <row r="109" s="91" customFormat="1" ht="13.5"/>
    <row r="110" s="91" customFormat="1" ht="13.5"/>
    <row r="111" s="91" customFormat="1" ht="13.5"/>
    <row r="112" s="91" customFormat="1" ht="13.5"/>
    <row r="113" s="91" customFormat="1" ht="13.5"/>
    <row r="114" s="91" customFormat="1" ht="13.5"/>
    <row r="115" s="91" customFormat="1" ht="13.5"/>
    <row r="116" s="91" customFormat="1" ht="13.5"/>
    <row r="117" s="91" customFormat="1" ht="13.5"/>
    <row r="118" s="91" customFormat="1" ht="13.5"/>
    <row r="119" s="91" customFormat="1" ht="13.5"/>
    <row r="120" s="91" customFormat="1" ht="13.5"/>
    <row r="121" s="91" customFormat="1" ht="13.5"/>
    <row r="122" s="91" customFormat="1" ht="13.5"/>
    <row r="123" s="91" customFormat="1" ht="13.5"/>
    <row r="124" s="91" customFormat="1" ht="13.5"/>
    <row r="125" s="91" customFormat="1" ht="13.5"/>
    <row r="126" s="91" customFormat="1" ht="13.5"/>
    <row r="127" s="91" customFormat="1" ht="13.5"/>
    <row r="128" s="91" customFormat="1" ht="13.5"/>
    <row r="129" s="91" customFormat="1" ht="13.5"/>
    <row r="130" s="91" customFormat="1" ht="13.5"/>
    <row r="131" s="91" customFormat="1" ht="13.5"/>
    <row r="132" s="91" customFormat="1" ht="13.5"/>
    <row r="133" s="91" customFormat="1" ht="13.5"/>
    <row r="134" s="91" customFormat="1" ht="13.5"/>
    <row r="135" s="91" customFormat="1" ht="13.5"/>
    <row r="136" s="91" customFormat="1" ht="13.5"/>
    <row r="137" s="91" customFormat="1" ht="13.5"/>
    <row r="138" s="91" customFormat="1" ht="13.5"/>
    <row r="139" s="91" customFormat="1" ht="13.5"/>
    <row r="140" s="91" customFormat="1" ht="13.5"/>
    <row r="141" s="91" customFormat="1" ht="13.5"/>
    <row r="142" s="91" customFormat="1" ht="13.5"/>
    <row r="143" s="91" customFormat="1" ht="13.5"/>
    <row r="144" s="91" customFormat="1" ht="13.5"/>
    <row r="145" s="91" customFormat="1" ht="13.5"/>
    <row r="146" s="91" customFormat="1" ht="13.5"/>
    <row r="147" s="91" customFormat="1" ht="13.5"/>
    <row r="148" s="91" customFormat="1" ht="13.5"/>
    <row r="149" s="91" customFormat="1" ht="13.5"/>
    <row r="150" s="91" customFormat="1" ht="13.5"/>
    <row r="151" s="91" customFormat="1" ht="13.5"/>
    <row r="152" s="91" customFormat="1" ht="13.5"/>
    <row r="153" s="91" customFormat="1" ht="13.5"/>
    <row r="154" s="91" customFormat="1" ht="13.5"/>
    <row r="155" s="91" customFormat="1" ht="13.5"/>
    <row r="156" s="91" customFormat="1" ht="13.5"/>
    <row r="157" s="91" customFormat="1" ht="13.5"/>
    <row r="158" s="91" customFormat="1" ht="13.5"/>
    <row r="159" s="91" customFormat="1" ht="13.5"/>
    <row r="160" s="91" customFormat="1" ht="13.5"/>
    <row r="161" s="91" customFormat="1" ht="13.5"/>
    <row r="162" s="91" customFormat="1" ht="13.5"/>
    <row r="163" s="91" customFormat="1" ht="13.5"/>
    <row r="164" s="91" customFormat="1" ht="13.5"/>
    <row r="165" s="91" customFormat="1" ht="13.5"/>
    <row r="166" s="91" customFormat="1" ht="13.5"/>
    <row r="167" s="91" customFormat="1" ht="13.5"/>
    <row r="168" s="91" customFormat="1" ht="13.5"/>
    <row r="169" s="91" customFormat="1" ht="13.5"/>
    <row r="170" s="91" customFormat="1" ht="13.5"/>
    <row r="171" s="91" customFormat="1" ht="13.5"/>
    <row r="172" s="91" customFormat="1" ht="13.5"/>
    <row r="173" s="91" customFormat="1" ht="13.5"/>
    <row r="174" s="91" customFormat="1" ht="13.5"/>
    <row r="175" s="91" customFormat="1" ht="13.5"/>
    <row r="176" s="91" customFormat="1" ht="13.5"/>
    <row r="177" s="91" customFormat="1" ht="13.5"/>
    <row r="178" s="91" customFormat="1" ht="13.5"/>
    <row r="179" s="91" customFormat="1" ht="13.5"/>
    <row r="180" s="91" customFormat="1" ht="13.5"/>
    <row r="181" s="91" customFormat="1" ht="13.5"/>
    <row r="182" s="91" customFormat="1" ht="13.5"/>
    <row r="183" s="91" customFormat="1" ht="13.5"/>
    <row r="184" s="91" customFormat="1" ht="13.5"/>
    <row r="185" s="91" customFormat="1" ht="13.5"/>
    <row r="186" s="91" customFormat="1" ht="13.5"/>
    <row r="187" s="91" customFormat="1" ht="13.5"/>
    <row r="188" s="91" customFormat="1" ht="13.5"/>
    <row r="189" s="91" customFormat="1" ht="13.5"/>
    <row r="190" s="91" customFormat="1" ht="13.5"/>
    <row r="191" s="91" customFormat="1" ht="13.5"/>
    <row r="192" s="91" customFormat="1" ht="13.5"/>
    <row r="193" s="91" customFormat="1" ht="13.5"/>
    <row r="194" s="91" customFormat="1" ht="13.5"/>
    <row r="195" s="91" customFormat="1" ht="13.5"/>
    <row r="196" s="91" customFormat="1" ht="13.5"/>
    <row r="197" s="91" customFormat="1" ht="13.5"/>
    <row r="198" s="91" customFormat="1" ht="13.5"/>
    <row r="199" s="91" customFormat="1" ht="13.5"/>
    <row r="200" s="91" customFormat="1" ht="13.5"/>
    <row r="201" s="91" customFormat="1" ht="13.5"/>
    <row r="202" s="91" customFormat="1" ht="13.5"/>
    <row r="203" s="91" customFormat="1" ht="13.5"/>
    <row r="204" s="91" customFormat="1" ht="13.5"/>
    <row r="205" s="91" customFormat="1" ht="13.5"/>
    <row r="206" s="91" customFormat="1" ht="13.5"/>
    <row r="207" s="91" customFormat="1" ht="13.5"/>
    <row r="208" s="91" customFormat="1" ht="13.5"/>
    <row r="209" s="91" customFormat="1" ht="13.5"/>
    <row r="210" s="91" customFormat="1" ht="13.5"/>
    <row r="211" s="91" customFormat="1" ht="13.5"/>
    <row r="212" s="91" customFormat="1" ht="13.5"/>
    <row r="213" s="91" customFormat="1" ht="13.5"/>
    <row r="214" ht="13.5">
      <c r="O214" s="91"/>
    </row>
    <row r="215" ht="13.5">
      <c r="O215" s="91"/>
    </row>
    <row r="216" ht="13.5">
      <c r="O216" s="91"/>
    </row>
    <row r="217" ht="13.5">
      <c r="O217" s="91"/>
    </row>
    <row r="218" ht="13.5">
      <c r="O218" s="91"/>
    </row>
  </sheetData>
  <sheetProtection password="CD08" sheet="1"/>
  <mergeCells count="29">
    <mergeCell ref="C42:D42"/>
    <mergeCell ref="C43:D43"/>
    <mergeCell ref="H14:H15"/>
    <mergeCell ref="J14:K14"/>
    <mergeCell ref="H25:K25"/>
    <mergeCell ref="H33:J33"/>
    <mergeCell ref="H23:I23"/>
    <mergeCell ref="J38:K38"/>
    <mergeCell ref="H38:I38"/>
    <mergeCell ref="B2:K2"/>
    <mergeCell ref="C16:D16"/>
    <mergeCell ref="C17:D17"/>
    <mergeCell ref="C18:D18"/>
    <mergeCell ref="C19:D19"/>
    <mergeCell ref="C44:D44"/>
    <mergeCell ref="C20:D20"/>
    <mergeCell ref="C21:D21"/>
    <mergeCell ref="C40:D40"/>
    <mergeCell ref="C41:D41"/>
    <mergeCell ref="H44:I44"/>
    <mergeCell ref="H45:I45"/>
    <mergeCell ref="H47:I47"/>
    <mergeCell ref="H39:I39"/>
    <mergeCell ref="B8:C8"/>
    <mergeCell ref="B9:C9"/>
    <mergeCell ref="H41:I41"/>
    <mergeCell ref="H42:I42"/>
    <mergeCell ref="H43:I43"/>
    <mergeCell ref="C45:D45"/>
  </mergeCells>
  <printOptions/>
  <pageMargins left="0.75" right="0.75" top="0.64" bottom="0.64" header="0.5" footer="0.5"/>
  <pageSetup fitToHeight="2" horizontalDpi="600" verticalDpi="600" orientation="landscape" scale="65" r:id="rId1"/>
  <headerFooter alignWithMargins="0">
    <oddHeader>&amp;L&amp;D&amp;R&amp;F</oddHeader>
  </headerFooter>
</worksheet>
</file>

<file path=xl/worksheets/sheet13.xml><?xml version="1.0" encoding="utf-8"?>
<worksheet xmlns="http://schemas.openxmlformats.org/spreadsheetml/2006/main" xmlns:r="http://schemas.openxmlformats.org/officeDocument/2006/relationships">
  <dimension ref="B1:F24"/>
  <sheetViews>
    <sheetView zoomScale="115" zoomScaleNormal="115" zoomScalePageLayoutView="0" workbookViewId="0" topLeftCell="A1">
      <selection activeCell="A1" sqref="A1"/>
    </sheetView>
  </sheetViews>
  <sheetFormatPr defaultColWidth="9.00390625" defaultRowHeight="12.75"/>
  <cols>
    <col min="1" max="2" width="3.57421875" style="506" customWidth="1"/>
    <col min="3" max="3" width="27.57421875" style="506" customWidth="1"/>
    <col min="4" max="4" width="25.7109375" style="506" customWidth="1"/>
    <col min="5" max="5" width="21.8515625" style="506" customWidth="1"/>
    <col min="6" max="6" width="3.57421875" style="506" customWidth="1"/>
    <col min="7" max="16384" width="9.00390625" style="506" customWidth="1"/>
  </cols>
  <sheetData>
    <row r="1" spans="2:6" ht="22.5" customHeight="1">
      <c r="B1" s="573" t="s">
        <v>503</v>
      </c>
      <c r="C1" s="573"/>
      <c r="D1" s="573"/>
      <c r="E1" s="573"/>
      <c r="F1" s="573"/>
    </row>
    <row r="2" spans="2:6" ht="36" customHeight="1">
      <c r="B2" s="816" t="s">
        <v>509</v>
      </c>
      <c r="C2" s="816"/>
      <c r="D2" s="816"/>
      <c r="E2" s="816"/>
      <c r="F2" s="574"/>
    </row>
    <row r="3" ht="15.75" thickBot="1"/>
    <row r="4" spans="2:5" ht="18" thickTop="1">
      <c r="B4" s="160" t="s">
        <v>24</v>
      </c>
      <c r="C4" s="321"/>
      <c r="D4" s="367"/>
      <c r="E4" s="322"/>
    </row>
    <row r="5" spans="2:5" ht="18">
      <c r="B5" s="784" t="s">
        <v>294</v>
      </c>
      <c r="C5" s="785"/>
      <c r="D5" s="323"/>
      <c r="E5" s="325"/>
    </row>
    <row r="6" spans="2:5" ht="18">
      <c r="B6" s="784" t="s">
        <v>352</v>
      </c>
      <c r="C6" s="785"/>
      <c r="D6" s="432"/>
      <c r="E6" s="325"/>
    </row>
    <row r="7" spans="2:5" ht="18" thickBot="1">
      <c r="B7" s="164"/>
      <c r="C7" s="165"/>
      <c r="D7" s="165"/>
      <c r="E7" s="326"/>
    </row>
    <row r="8" ht="16.5" thickBot="1" thickTop="1"/>
    <row r="9" spans="2:6" ht="18" thickTop="1">
      <c r="B9" s="361" t="s">
        <v>504</v>
      </c>
      <c r="C9" s="521"/>
      <c r="D9" s="521"/>
      <c r="E9" s="521"/>
      <c r="F9" s="578"/>
    </row>
    <row r="10" spans="2:6" ht="18">
      <c r="B10" s="579" t="s">
        <v>506</v>
      </c>
      <c r="C10" s="363"/>
      <c r="D10" s="363"/>
      <c r="E10" s="407"/>
      <c r="F10" s="364"/>
    </row>
    <row r="11" spans="2:6" ht="15">
      <c r="B11" s="586"/>
      <c r="C11" s="363"/>
      <c r="D11" s="363"/>
      <c r="E11" s="363"/>
      <c r="F11" s="364"/>
    </row>
    <row r="12" spans="2:6" ht="18">
      <c r="B12" s="362"/>
      <c r="C12" s="580" t="s">
        <v>505</v>
      </c>
      <c r="D12" s="693"/>
      <c r="E12" s="363" t="s">
        <v>320</v>
      </c>
      <c r="F12" s="364"/>
    </row>
    <row r="13" spans="2:6" ht="15.75" thickBot="1">
      <c r="B13" s="362"/>
      <c r="C13" s="363"/>
      <c r="D13" s="363"/>
      <c r="E13" s="363"/>
      <c r="F13" s="364"/>
    </row>
    <row r="14" spans="2:6" ht="18" thickTop="1">
      <c r="B14" s="361" t="s">
        <v>507</v>
      </c>
      <c r="C14" s="521"/>
      <c r="D14" s="521"/>
      <c r="E14" s="521"/>
      <c r="F14" s="578"/>
    </row>
    <row r="15" spans="2:6" ht="18">
      <c r="B15" s="581"/>
      <c r="C15" s="363"/>
      <c r="D15" s="363"/>
      <c r="E15" s="363"/>
      <c r="F15" s="364"/>
    </row>
    <row r="16" spans="2:6" ht="15">
      <c r="B16" s="586" t="s">
        <v>422</v>
      </c>
      <c r="C16" s="363"/>
      <c r="D16" s="363"/>
      <c r="E16" s="363"/>
      <c r="F16" s="364"/>
    </row>
    <row r="17" spans="2:6" ht="122.25" customHeight="1">
      <c r="B17" s="587" t="s">
        <v>457</v>
      </c>
      <c r="C17" s="743" t="s">
        <v>517</v>
      </c>
      <c r="D17" s="743"/>
      <c r="E17" s="743"/>
      <c r="F17" s="364"/>
    </row>
    <row r="18" spans="2:6" ht="15">
      <c r="B18" s="588" t="s">
        <v>457</v>
      </c>
      <c r="C18" s="743" t="s">
        <v>516</v>
      </c>
      <c r="D18" s="743"/>
      <c r="E18" s="743"/>
      <c r="F18" s="364"/>
    </row>
    <row r="19" spans="2:6" ht="15">
      <c r="B19" s="362"/>
      <c r="C19" s="363"/>
      <c r="D19" s="363"/>
      <c r="E19" s="363"/>
      <c r="F19" s="364"/>
    </row>
    <row r="20" spans="2:6" ht="64.5">
      <c r="B20" s="362"/>
      <c r="C20" s="333" t="s">
        <v>510</v>
      </c>
      <c r="D20" s="885" t="s">
        <v>513</v>
      </c>
      <c r="E20" s="333" t="s">
        <v>511</v>
      </c>
      <c r="F20" s="364"/>
    </row>
    <row r="21" spans="2:6" ht="28.5">
      <c r="B21" s="362"/>
      <c r="C21" s="577" t="s">
        <v>512</v>
      </c>
      <c r="D21" s="886"/>
      <c r="E21" s="577" t="s">
        <v>512</v>
      </c>
      <c r="F21" s="364"/>
    </row>
    <row r="22" spans="2:6" ht="15">
      <c r="B22" s="362"/>
      <c r="C22" s="582"/>
      <c r="D22" s="582"/>
      <c r="E22" s="583">
        <f>D22*C22</f>
        <v>0</v>
      </c>
      <c r="F22" s="364"/>
    </row>
    <row r="23" spans="2:6" ht="30.75" customHeight="1">
      <c r="B23" s="362"/>
      <c r="C23" s="884" t="s">
        <v>508</v>
      </c>
      <c r="D23" s="884"/>
      <c r="E23" s="884"/>
      <c r="F23" s="364"/>
    </row>
    <row r="24" spans="2:6" ht="15.75" thickBot="1">
      <c r="B24" s="500"/>
      <c r="C24" s="518"/>
      <c r="D24" s="518"/>
      <c r="E24" s="518"/>
      <c r="F24" s="561"/>
    </row>
    <row r="25" ht="15.75" thickTop="1"/>
  </sheetData>
  <sheetProtection password="CD08" sheet="1"/>
  <mergeCells count="7">
    <mergeCell ref="B5:C5"/>
    <mergeCell ref="B6:C6"/>
    <mergeCell ref="C23:E23"/>
    <mergeCell ref="D20:D21"/>
    <mergeCell ref="B2:E2"/>
    <mergeCell ref="C17:E17"/>
    <mergeCell ref="C18:E1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1:J39"/>
  <sheetViews>
    <sheetView zoomScalePageLayoutView="0" workbookViewId="0" topLeftCell="A1">
      <selection activeCell="A1" sqref="A1"/>
    </sheetView>
  </sheetViews>
  <sheetFormatPr defaultColWidth="9.140625" defaultRowHeight="12.75"/>
  <cols>
    <col min="1" max="2" width="3.57421875" style="562" customWidth="1"/>
    <col min="3" max="3" width="9.421875" style="225" customWidth="1"/>
    <col min="4" max="4" width="51.140625" style="225" customWidth="1"/>
    <col min="5" max="5" width="4.140625" style="225" customWidth="1"/>
    <col min="6" max="6" width="19.28125" style="564" customWidth="1"/>
    <col min="7" max="7" width="18.57421875" style="565" customWidth="1"/>
    <col min="8" max="8" width="19.00390625" style="562" customWidth="1"/>
    <col min="9" max="9" width="20.57421875" style="562" customWidth="1"/>
    <col min="10" max="10" width="3.57421875" style="562" customWidth="1"/>
    <col min="11" max="16384" width="9.140625" style="562" customWidth="1"/>
  </cols>
  <sheetData>
    <row r="1" spans="2:4" ht="23.25">
      <c r="B1" s="571" t="s">
        <v>227</v>
      </c>
      <c r="C1" s="562"/>
      <c r="D1" s="563"/>
    </row>
    <row r="2" ht="14.25" thickBot="1"/>
    <row r="3" spans="2:10" s="572" customFormat="1" ht="15.75" thickTop="1">
      <c r="B3" s="590"/>
      <c r="C3" s="591"/>
      <c r="D3" s="592"/>
      <c r="E3" s="593"/>
      <c r="F3" s="594"/>
      <c r="G3" s="594"/>
      <c r="H3" s="594"/>
      <c r="I3" s="595"/>
      <c r="J3" s="596"/>
    </row>
    <row r="4" spans="2:10" s="572" customFormat="1" ht="15">
      <c r="B4" s="597"/>
      <c r="C4" s="889" t="s">
        <v>225</v>
      </c>
      <c r="D4" s="890"/>
      <c r="E4" s="566"/>
      <c r="F4" s="892">
        <f>IF('Operations in Inventory'!C8="","",'Operations in Inventory'!C8)</f>
      </c>
      <c r="G4" s="893"/>
      <c r="H4" s="893"/>
      <c r="I4" s="894"/>
      <c r="J4" s="601"/>
    </row>
    <row r="5" spans="2:10" s="572" customFormat="1" ht="15">
      <c r="B5" s="597"/>
      <c r="C5" s="598"/>
      <c r="D5" s="598"/>
      <c r="E5" s="598"/>
      <c r="F5" s="599"/>
      <c r="G5" s="599"/>
      <c r="H5" s="599"/>
      <c r="I5" s="600"/>
      <c r="J5" s="601"/>
    </row>
    <row r="6" spans="2:10" s="572" customFormat="1" ht="72.75" customHeight="1">
      <c r="B6" s="597"/>
      <c r="C6" s="887" t="s">
        <v>226</v>
      </c>
      <c r="D6" s="891"/>
      <c r="E6" s="567"/>
      <c r="F6" s="895">
        <f>IF('Operations in Inventory'!C10="","",'Operations in Inventory'!C10)</f>
      </c>
      <c r="G6" s="893"/>
      <c r="H6" s="893"/>
      <c r="I6" s="894"/>
      <c r="J6" s="601"/>
    </row>
    <row r="7" spans="2:10" s="572" customFormat="1" ht="15.75" customHeight="1" thickBot="1">
      <c r="B7" s="597"/>
      <c r="C7" s="602"/>
      <c r="D7" s="602"/>
      <c r="E7" s="602"/>
      <c r="F7" s="600"/>
      <c r="G7" s="600"/>
      <c r="H7" s="600"/>
      <c r="I7" s="599"/>
      <c r="J7" s="601"/>
    </row>
    <row r="8" spans="2:10" s="572" customFormat="1" ht="33.75" thickTop="1">
      <c r="B8" s="603" t="s">
        <v>519</v>
      </c>
      <c r="C8" s="592"/>
      <c r="D8" s="592"/>
      <c r="E8" s="593"/>
      <c r="F8" s="604" t="s">
        <v>499</v>
      </c>
      <c r="G8" s="605" t="s">
        <v>500</v>
      </c>
      <c r="H8" s="605" t="s">
        <v>501</v>
      </c>
      <c r="I8" s="605" t="s">
        <v>502</v>
      </c>
      <c r="J8" s="596"/>
    </row>
    <row r="9" spans="2:10" s="572" customFormat="1" ht="42" customHeight="1">
      <c r="B9" s="597"/>
      <c r="C9" s="887" t="s">
        <v>346</v>
      </c>
      <c r="D9" s="891"/>
      <c r="E9" s="567"/>
      <c r="F9" s="584">
        <f>'Stationary Combustion'!L45</f>
        <v>0</v>
      </c>
      <c r="G9" s="584">
        <f>'Stationary Combustion'!M45</f>
        <v>0</v>
      </c>
      <c r="H9" s="584">
        <f>'Stationary Combustion'!N45</f>
        <v>0</v>
      </c>
      <c r="I9" s="584">
        <f>'Stationary Combustion'!O45</f>
        <v>0</v>
      </c>
      <c r="J9" s="601"/>
    </row>
    <row r="10" spans="2:10" s="572" customFormat="1" ht="18" customHeight="1">
      <c r="B10" s="597"/>
      <c r="C10" s="602"/>
      <c r="D10" s="602"/>
      <c r="E10" s="602"/>
      <c r="F10" s="606"/>
      <c r="G10" s="606"/>
      <c r="H10" s="606"/>
      <c r="I10" s="599"/>
      <c r="J10" s="601"/>
    </row>
    <row r="11" spans="2:10" s="572" customFormat="1" ht="30" customHeight="1">
      <c r="B11" s="597"/>
      <c r="C11" s="602"/>
      <c r="D11" s="589" t="s">
        <v>358</v>
      </c>
      <c r="E11" s="568"/>
      <c r="F11" s="584">
        <f>F9-F12-F13</f>
        <v>0</v>
      </c>
      <c r="G11" s="584">
        <f>G9-G12-G13</f>
        <v>0</v>
      </c>
      <c r="H11" s="584">
        <f>H9-H12-H13</f>
        <v>0</v>
      </c>
      <c r="I11" s="584">
        <f>I9-I12-I13</f>
        <v>0</v>
      </c>
      <c r="J11" s="601"/>
    </row>
    <row r="12" spans="2:10" s="572" customFormat="1" ht="30" customHeight="1">
      <c r="B12" s="597"/>
      <c r="C12" s="602"/>
      <c r="D12" s="589" t="s">
        <v>359</v>
      </c>
      <c r="E12" s="568"/>
      <c r="F12" s="584">
        <f>'Stationary Combustion'!L26+'Stationary Combustion'!L29+'Stationary Combustion'!L34</f>
        <v>0</v>
      </c>
      <c r="G12" s="584">
        <f>'Stationary Combustion'!M26+'Stationary Combustion'!M29+'Stationary Combustion'!M34</f>
        <v>0</v>
      </c>
      <c r="H12" s="584">
        <f>'Stationary Combustion'!N26+'Stationary Combustion'!N29+'Stationary Combustion'!N34</f>
        <v>0</v>
      </c>
      <c r="I12" s="584">
        <f>'Stationary Combustion'!O26+'Stationary Combustion'!O29+'Stationary Combustion'!O34</f>
        <v>0</v>
      </c>
      <c r="J12" s="601"/>
    </row>
    <row r="13" spans="2:10" s="572" customFormat="1" ht="30" customHeight="1">
      <c r="B13" s="597"/>
      <c r="C13" s="602"/>
      <c r="D13" s="589" t="s">
        <v>360</v>
      </c>
      <c r="E13" s="568"/>
      <c r="F13" s="584">
        <f>'Electricity Generation Units'!E28</f>
        <v>0</v>
      </c>
      <c r="G13" s="584">
        <f>'Electricity Generation Units'!F28</f>
        <v>0</v>
      </c>
      <c r="H13" s="584">
        <f>'Electricity Generation Units'!G28</f>
        <v>0</v>
      </c>
      <c r="I13" s="584">
        <f>'Electricity Generation Units'!H28</f>
        <v>0</v>
      </c>
      <c r="J13" s="601"/>
    </row>
    <row r="14" spans="2:10" s="572" customFormat="1" ht="15">
      <c r="B14" s="597"/>
      <c r="C14" s="598"/>
      <c r="D14" s="598"/>
      <c r="E14" s="598"/>
      <c r="F14" s="599"/>
      <c r="G14" s="599"/>
      <c r="H14" s="599"/>
      <c r="I14" s="600"/>
      <c r="J14" s="601"/>
    </row>
    <row r="15" spans="2:10" s="572" customFormat="1" ht="42" customHeight="1">
      <c r="B15" s="597"/>
      <c r="C15" s="887" t="s">
        <v>347</v>
      </c>
      <c r="D15" s="891"/>
      <c r="E15" s="567"/>
      <c r="F15" s="584">
        <f>'Onsite Transportation'!L33</f>
        <v>0</v>
      </c>
      <c r="G15" s="584">
        <f>'Onsite Transportation'!M33</f>
        <v>0</v>
      </c>
      <c r="H15" s="584">
        <f>'Onsite Transportation'!N33</f>
        <v>0</v>
      </c>
      <c r="I15" s="584">
        <f>'Onsite Transportation'!O33</f>
        <v>0</v>
      </c>
      <c r="J15" s="601"/>
    </row>
    <row r="16" spans="2:10" s="572" customFormat="1" ht="15">
      <c r="B16" s="597"/>
      <c r="C16" s="602"/>
      <c r="D16" s="602"/>
      <c r="E16" s="602"/>
      <c r="F16" s="599"/>
      <c r="G16" s="599"/>
      <c r="H16" s="599"/>
      <c r="I16" s="599"/>
      <c r="J16" s="601"/>
    </row>
    <row r="17" spans="2:10" s="572" customFormat="1" ht="42" customHeight="1">
      <c r="B17" s="597"/>
      <c r="C17" s="887" t="s">
        <v>366</v>
      </c>
      <c r="D17" s="888"/>
      <c r="E17" s="568"/>
      <c r="F17" s="606" t="s">
        <v>11</v>
      </c>
      <c r="G17" s="585">
        <f>Wastewater!J23</f>
        <v>0</v>
      </c>
      <c r="H17" s="585">
        <f>Wastewater!J47</f>
        <v>0</v>
      </c>
      <c r="I17" s="584">
        <f>Wastewater!K23+Wastewater!K47</f>
        <v>0</v>
      </c>
      <c r="J17" s="601"/>
    </row>
    <row r="18" spans="2:10" s="572" customFormat="1" ht="15">
      <c r="B18" s="597"/>
      <c r="C18" s="602"/>
      <c r="D18" s="602"/>
      <c r="E18" s="602"/>
      <c r="F18" s="599"/>
      <c r="G18" s="599"/>
      <c r="H18" s="599"/>
      <c r="I18" s="599"/>
      <c r="J18" s="601"/>
    </row>
    <row r="19" spans="2:10" s="572" customFormat="1" ht="42" customHeight="1">
      <c r="B19" s="597"/>
      <c r="C19" s="887" t="s">
        <v>367</v>
      </c>
      <c r="D19" s="888"/>
      <c r="E19" s="568"/>
      <c r="F19" s="606" t="s">
        <v>11</v>
      </c>
      <c r="G19" s="585">
        <f>Waste!Q40</f>
        <v>0</v>
      </c>
      <c r="H19" s="606" t="s">
        <v>11</v>
      </c>
      <c r="I19" s="584">
        <f>G19*GWPCH4</f>
        <v>0</v>
      </c>
      <c r="J19" s="601"/>
    </row>
    <row r="20" spans="2:10" s="572" customFormat="1" ht="15">
      <c r="B20" s="597"/>
      <c r="C20" s="602"/>
      <c r="D20" s="602"/>
      <c r="E20" s="602"/>
      <c r="F20" s="599"/>
      <c r="G20" s="599"/>
      <c r="H20" s="599"/>
      <c r="I20" s="599"/>
      <c r="J20" s="601"/>
    </row>
    <row r="21" spans="2:10" s="572" customFormat="1" ht="42" customHeight="1">
      <c r="B21" s="597"/>
      <c r="C21" s="887" t="s">
        <v>368</v>
      </c>
      <c r="D21" s="888"/>
      <c r="E21" s="568"/>
      <c r="F21" s="584">
        <f>'Make-up Chemicals'!F14+'Make-up Chemicals'!F23</f>
        <v>0</v>
      </c>
      <c r="G21" s="606" t="s">
        <v>11</v>
      </c>
      <c r="H21" s="606" t="s">
        <v>11</v>
      </c>
      <c r="I21" s="584">
        <f>F21</f>
        <v>0</v>
      </c>
      <c r="J21" s="601"/>
    </row>
    <row r="22" spans="2:10" s="572" customFormat="1" ht="18" customHeight="1">
      <c r="B22" s="597"/>
      <c r="C22" s="602"/>
      <c r="D22" s="602"/>
      <c r="E22" s="602"/>
      <c r="F22" s="600"/>
      <c r="G22" s="600"/>
      <c r="H22" s="600"/>
      <c r="I22" s="599"/>
      <c r="J22" s="601"/>
    </row>
    <row r="23" spans="2:10" s="572" customFormat="1" ht="42" customHeight="1">
      <c r="B23" s="597"/>
      <c r="C23" s="887" t="s">
        <v>287</v>
      </c>
      <c r="D23" s="888"/>
      <c r="E23" s="568"/>
      <c r="F23" s="584">
        <f>F9+F15+F21</f>
        <v>0</v>
      </c>
      <c r="G23" s="585">
        <f>G9+G15+G17+G19</f>
        <v>0</v>
      </c>
      <c r="H23" s="585">
        <f>H9+H15+H17</f>
        <v>0</v>
      </c>
      <c r="I23" s="430">
        <f>F23+G23*25+H23*298</f>
        <v>0</v>
      </c>
      <c r="J23" s="601"/>
    </row>
    <row r="24" spans="2:10" s="572" customFormat="1" ht="21.75" customHeight="1" thickBot="1">
      <c r="B24" s="608"/>
      <c r="C24" s="609"/>
      <c r="D24" s="609"/>
      <c r="E24" s="609"/>
      <c r="F24" s="610"/>
      <c r="G24" s="610"/>
      <c r="H24" s="610"/>
      <c r="I24" s="611"/>
      <c r="J24" s="607"/>
    </row>
    <row r="25" spans="2:10" s="572" customFormat="1" ht="33.75" thickTop="1">
      <c r="B25" s="612" t="s">
        <v>25</v>
      </c>
      <c r="C25" s="613"/>
      <c r="D25" s="613"/>
      <c r="E25" s="613"/>
      <c r="F25" s="614" t="s">
        <v>499</v>
      </c>
      <c r="G25" s="615"/>
      <c r="H25" s="615"/>
      <c r="I25" s="615" t="s">
        <v>502</v>
      </c>
      <c r="J25" s="601"/>
    </row>
    <row r="26" spans="2:10" s="572" customFormat="1" ht="15.75" customHeight="1">
      <c r="B26" s="597"/>
      <c r="C26" s="616"/>
      <c r="D26" s="616"/>
      <c r="E26" s="613"/>
      <c r="F26" s="613"/>
      <c r="G26" s="613"/>
      <c r="H26" s="613"/>
      <c r="I26" s="598"/>
      <c r="J26" s="601"/>
    </row>
    <row r="27" spans="2:10" s="572" customFormat="1" ht="42" customHeight="1">
      <c r="B27" s="597"/>
      <c r="C27" s="887" t="s">
        <v>515</v>
      </c>
      <c r="D27" s="888"/>
      <c r="E27" s="568"/>
      <c r="F27" s="584">
        <f>'CO2 Imports and Exports'!D12</f>
        <v>0</v>
      </c>
      <c r="G27" s="600" t="s">
        <v>11</v>
      </c>
      <c r="H27" s="600" t="s">
        <v>11</v>
      </c>
      <c r="I27" s="584">
        <f>F27</f>
        <v>0</v>
      </c>
      <c r="J27" s="601"/>
    </row>
    <row r="28" spans="2:10" s="572" customFormat="1" ht="15.75" customHeight="1">
      <c r="B28" s="597"/>
      <c r="C28" s="616"/>
      <c r="D28" s="616"/>
      <c r="E28" s="613"/>
      <c r="F28" s="613"/>
      <c r="G28" s="613"/>
      <c r="H28" s="613"/>
      <c r="I28" s="598"/>
      <c r="J28" s="601"/>
    </row>
    <row r="29" spans="2:10" s="572" customFormat="1" ht="42" customHeight="1">
      <c r="B29" s="597"/>
      <c r="C29" s="887" t="s">
        <v>514</v>
      </c>
      <c r="D29" s="888"/>
      <c r="E29" s="568"/>
      <c r="F29" s="584">
        <f>'CO2 Imports and Exports'!E22</f>
        <v>0</v>
      </c>
      <c r="G29" s="600" t="s">
        <v>11</v>
      </c>
      <c r="H29" s="600" t="s">
        <v>11</v>
      </c>
      <c r="I29" s="584">
        <f>F29</f>
        <v>0</v>
      </c>
      <c r="J29" s="601"/>
    </row>
    <row r="30" spans="2:10" s="572" customFormat="1" ht="15" customHeight="1" thickBot="1">
      <c r="B30" s="608"/>
      <c r="C30" s="617"/>
      <c r="D30" s="617"/>
      <c r="E30" s="617"/>
      <c r="F30" s="611"/>
      <c r="G30" s="611"/>
      <c r="H30" s="611"/>
      <c r="I30" s="611"/>
      <c r="J30" s="607"/>
    </row>
    <row r="31" spans="2:10" s="572" customFormat="1" ht="33.75" thickTop="1">
      <c r="B31" s="618" t="s">
        <v>518</v>
      </c>
      <c r="C31" s="619"/>
      <c r="D31" s="619"/>
      <c r="E31" s="620"/>
      <c r="F31" s="621" t="s">
        <v>499</v>
      </c>
      <c r="G31" s="622"/>
      <c r="H31" s="622"/>
      <c r="I31" s="622" t="s">
        <v>502</v>
      </c>
      <c r="J31" s="623"/>
    </row>
    <row r="32" spans="2:10" s="572" customFormat="1" ht="42" customHeight="1">
      <c r="B32" s="631"/>
      <c r="C32" s="887" t="s">
        <v>369</v>
      </c>
      <c r="D32" s="888"/>
      <c r="E32" s="568"/>
      <c r="F32" s="584">
        <f>'Biomass Combustion CO2'!G25</f>
        <v>0</v>
      </c>
      <c r="G32" s="624" t="s">
        <v>11</v>
      </c>
      <c r="H32" s="624" t="s">
        <v>11</v>
      </c>
      <c r="I32" s="625" t="s">
        <v>11</v>
      </c>
      <c r="J32" s="626"/>
    </row>
    <row r="33" spans="2:10" s="572" customFormat="1" ht="15" customHeight="1">
      <c r="B33" s="631"/>
      <c r="C33" s="627"/>
      <c r="D33" s="627"/>
      <c r="E33" s="627"/>
      <c r="F33" s="627"/>
      <c r="G33" s="627"/>
      <c r="H33" s="627"/>
      <c r="I33" s="627"/>
      <c r="J33" s="626"/>
    </row>
    <row r="34" spans="2:10" s="572" customFormat="1" ht="42" customHeight="1">
      <c r="B34" s="631"/>
      <c r="C34" s="887" t="s">
        <v>327</v>
      </c>
      <c r="D34" s="888"/>
      <c r="E34" s="568"/>
      <c r="F34" s="584">
        <f>'Biomass Combustion CO2'!G38</f>
        <v>0</v>
      </c>
      <c r="G34" s="624" t="s">
        <v>11</v>
      </c>
      <c r="H34" s="624" t="s">
        <v>11</v>
      </c>
      <c r="I34" s="625" t="s">
        <v>11</v>
      </c>
      <c r="J34" s="626"/>
    </row>
    <row r="35" spans="2:10" s="572" customFormat="1" ht="15">
      <c r="B35" s="631"/>
      <c r="C35" s="633"/>
      <c r="D35" s="633"/>
      <c r="E35" s="633"/>
      <c r="F35" s="628"/>
      <c r="G35" s="628"/>
      <c r="H35" s="627"/>
      <c r="I35" s="627"/>
      <c r="J35" s="626"/>
    </row>
    <row r="36" spans="2:10" s="572" customFormat="1" ht="15.75" thickBot="1">
      <c r="B36" s="632"/>
      <c r="C36" s="634"/>
      <c r="D36" s="634"/>
      <c r="E36" s="634"/>
      <c r="F36" s="629"/>
      <c r="G36" s="629"/>
      <c r="H36" s="629"/>
      <c r="I36" s="629"/>
      <c r="J36" s="630"/>
    </row>
    <row r="37" spans="3:6" ht="15.75" thickTop="1">
      <c r="C37" s="569"/>
      <c r="D37" s="569"/>
      <c r="E37" s="569"/>
      <c r="F37" s="570"/>
    </row>
    <row r="38" spans="3:6" ht="15">
      <c r="C38" s="569"/>
      <c r="D38" s="569"/>
      <c r="E38" s="569"/>
      <c r="F38" s="570"/>
    </row>
    <row r="39" spans="3:6" ht="15">
      <c r="C39" s="569"/>
      <c r="D39" s="569"/>
      <c r="E39" s="569"/>
      <c r="F39" s="570"/>
    </row>
  </sheetData>
  <sheetProtection password="CD08" sheet="1"/>
  <mergeCells count="14">
    <mergeCell ref="C23:D23"/>
    <mergeCell ref="C19:D19"/>
    <mergeCell ref="C17:D17"/>
    <mergeCell ref="C32:D32"/>
    <mergeCell ref="C27:D27"/>
    <mergeCell ref="C4:D4"/>
    <mergeCell ref="C6:D6"/>
    <mergeCell ref="C9:D9"/>
    <mergeCell ref="C34:D34"/>
    <mergeCell ref="F4:I4"/>
    <mergeCell ref="F6:I6"/>
    <mergeCell ref="C15:D15"/>
    <mergeCell ref="C29:D29"/>
    <mergeCell ref="C21:D21"/>
  </mergeCells>
  <printOptions horizontalCentered="1"/>
  <pageMargins left="0.75" right="0.75" top="1" bottom="1" header="0.5" footer="0.5"/>
  <pageSetup fitToHeight="1" fitToWidth="1" horizontalDpi="600" verticalDpi="600" orientation="portrait" scale="57" r:id="rId1"/>
  <headerFooter alignWithMargins="0">
    <oddHeader>&amp;L
&amp;F&amp;R&amp;D</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R31"/>
  <sheetViews>
    <sheetView zoomScale="115" zoomScaleNormal="115" zoomScalePageLayoutView="0" workbookViewId="0" topLeftCell="A1">
      <selection activeCell="K8" sqref="K8"/>
    </sheetView>
  </sheetViews>
  <sheetFormatPr defaultColWidth="9.7109375" defaultRowHeight="12.75"/>
  <cols>
    <col min="1" max="1" width="3.57421875" style="434" customWidth="1"/>
    <col min="2" max="2" width="8.8515625" style="434" customWidth="1"/>
    <col min="3" max="3" width="3.8515625" style="434" customWidth="1"/>
    <col min="4" max="4" width="18.140625" style="434" customWidth="1"/>
    <col min="5" max="5" width="16.7109375" style="434" customWidth="1"/>
    <col min="6" max="6" width="19.28125" style="434" customWidth="1"/>
    <col min="7" max="7" width="14.7109375" style="434" customWidth="1"/>
    <col min="8" max="8" width="21.00390625" style="434" customWidth="1"/>
    <col min="9" max="9" width="11.7109375" style="434" customWidth="1"/>
    <col min="10" max="10" width="11.00390625" style="434" customWidth="1"/>
    <col min="11" max="11" width="15.140625" style="434" customWidth="1"/>
    <col min="12" max="12" width="19.7109375" style="434" customWidth="1"/>
    <col min="13" max="13" width="13.00390625" style="434" customWidth="1"/>
    <col min="14" max="14" width="21.140625" style="434" customWidth="1"/>
    <col min="15" max="15" width="18.57421875" style="434" customWidth="1"/>
    <col min="16" max="16" width="21.00390625" style="434" customWidth="1"/>
    <col min="17" max="17" width="21.421875" style="434" customWidth="1"/>
    <col min="18" max="18" width="3.57421875" style="434" customWidth="1"/>
    <col min="19" max="16384" width="9.7109375" style="434" customWidth="1"/>
  </cols>
  <sheetData>
    <row r="1" spans="2:12" s="642" customFormat="1" ht="21" customHeight="1">
      <c r="B1" s="663" t="s">
        <v>520</v>
      </c>
      <c r="C1" s="641"/>
      <c r="D1" s="641"/>
      <c r="E1" s="641"/>
      <c r="F1" s="641"/>
      <c r="G1" s="641"/>
      <c r="H1" s="641"/>
      <c r="I1" s="641"/>
      <c r="J1" s="641"/>
      <c r="K1" s="641"/>
      <c r="L1" s="641"/>
    </row>
    <row r="2" spans="2:4" ht="18">
      <c r="B2" s="574" t="s">
        <v>521</v>
      </c>
      <c r="C2" s="574"/>
      <c r="D2" s="574"/>
    </row>
    <row r="4" spans="2:15" s="446" customFormat="1" ht="15">
      <c r="B4" s="896" t="s">
        <v>27</v>
      </c>
      <c r="C4" s="897"/>
      <c r="D4" s="897"/>
      <c r="E4" s="897"/>
      <c r="F4" s="897"/>
      <c r="G4" s="897"/>
      <c r="H4" s="898"/>
      <c r="I4" s="898"/>
      <c r="J4" s="898"/>
      <c r="K4" s="898"/>
      <c r="L4" s="899"/>
      <c r="M4" s="900"/>
      <c r="N4" s="900"/>
      <c r="O4" s="900"/>
    </row>
    <row r="5" spans="4:12" s="446" customFormat="1" ht="17.25" customHeight="1" thickBot="1">
      <c r="D5" s="635"/>
      <c r="E5" s="636"/>
      <c r="F5" s="636"/>
      <c r="G5" s="636"/>
      <c r="H5" s="636"/>
      <c r="I5" s="636"/>
      <c r="J5" s="636"/>
      <c r="K5" s="636"/>
      <c r="L5" s="636"/>
    </row>
    <row r="6" spans="2:6" s="446" customFormat="1" ht="24" customHeight="1" thickTop="1">
      <c r="B6" s="160" t="s">
        <v>24</v>
      </c>
      <c r="C6" s="643"/>
      <c r="D6" s="438"/>
      <c r="E6" s="643"/>
      <c r="F6" s="644"/>
    </row>
    <row r="7" spans="2:6" s="446" customFormat="1" ht="18" customHeight="1">
      <c r="B7" s="645"/>
      <c r="C7" s="458"/>
      <c r="D7" s="646" t="s">
        <v>294</v>
      </c>
      <c r="E7" s="647"/>
      <c r="F7" s="648"/>
    </row>
    <row r="8" spans="2:6" s="446" customFormat="1" ht="18" customHeight="1">
      <c r="B8" s="645"/>
      <c r="C8" s="458"/>
      <c r="D8" s="646" t="s">
        <v>352</v>
      </c>
      <c r="E8" s="649"/>
      <c r="F8" s="648"/>
    </row>
    <row r="9" spans="2:6" s="446" customFormat="1" ht="18" customHeight="1" thickBot="1">
      <c r="B9" s="650"/>
      <c r="C9" s="651"/>
      <c r="D9" s="651"/>
      <c r="E9" s="651"/>
      <c r="F9" s="652"/>
    </row>
    <row r="10" spans="3:18" s="446" customFormat="1" ht="18" customHeight="1" thickBot="1" thickTop="1">
      <c r="C10" s="638"/>
      <c r="Q10" s="637"/>
      <c r="R10" s="637"/>
    </row>
    <row r="11" spans="2:18" s="446" customFormat="1" ht="15.75" thickTop="1">
      <c r="B11" s="904" t="s">
        <v>522</v>
      </c>
      <c r="C11" s="905"/>
      <c r="D11" s="905"/>
      <c r="E11" s="905"/>
      <c r="F11" s="905"/>
      <c r="G11" s="905"/>
      <c r="H11" s="905"/>
      <c r="I11" s="905"/>
      <c r="J11" s="905"/>
      <c r="K11" s="905"/>
      <c r="L11" s="666"/>
      <c r="M11" s="666"/>
      <c r="N11" s="666"/>
      <c r="O11" s="666"/>
      <c r="P11" s="666"/>
      <c r="Q11" s="666"/>
      <c r="R11" s="667"/>
    </row>
    <row r="12" spans="2:18" s="446" customFormat="1" ht="18" customHeight="1">
      <c r="B12" s="353"/>
      <c r="C12" s="354"/>
      <c r="D12" s="354"/>
      <c r="E12" s="354"/>
      <c r="F12" s="354"/>
      <c r="G12" s="354"/>
      <c r="H12" s="354"/>
      <c r="I12" s="354"/>
      <c r="J12" s="354"/>
      <c r="K12" s="354"/>
      <c r="L12" s="354"/>
      <c r="M12" s="354"/>
      <c r="N12" s="354"/>
      <c r="O12" s="354"/>
      <c r="P12" s="354"/>
      <c r="Q12" s="354"/>
      <c r="R12" s="355"/>
    </row>
    <row r="13" spans="2:18" s="450" customFormat="1" ht="15">
      <c r="B13" s="906" t="s">
        <v>523</v>
      </c>
      <c r="C13" s="907"/>
      <c r="D13" s="907"/>
      <c r="E13" s="907"/>
      <c r="F13" s="907"/>
      <c r="G13" s="907"/>
      <c r="H13" s="907"/>
      <c r="I13" s="907"/>
      <c r="J13" s="907"/>
      <c r="K13" s="907"/>
      <c r="L13" s="907"/>
      <c r="M13" s="535"/>
      <c r="N13" s="535"/>
      <c r="O13" s="535"/>
      <c r="P13" s="363"/>
      <c r="Q13" s="363"/>
      <c r="R13" s="364"/>
    </row>
    <row r="14" spans="2:18" s="446" customFormat="1" ht="18" customHeight="1">
      <c r="B14" s="353"/>
      <c r="C14" s="354"/>
      <c r="D14" s="354"/>
      <c r="E14" s="354"/>
      <c r="F14" s="354"/>
      <c r="G14" s="354"/>
      <c r="H14" s="354"/>
      <c r="I14" s="354"/>
      <c r="J14" s="354"/>
      <c r="K14" s="354"/>
      <c r="L14" s="354"/>
      <c r="M14" s="668"/>
      <c r="N14" s="668"/>
      <c r="O14" s="354"/>
      <c r="P14" s="668"/>
      <c r="Q14" s="354"/>
      <c r="R14" s="355"/>
    </row>
    <row r="15" spans="2:18" ht="15" customHeight="1">
      <c r="B15" s="353"/>
      <c r="C15" s="354"/>
      <c r="D15" s="463" t="s">
        <v>92</v>
      </c>
      <c r="E15" s="463" t="s">
        <v>106</v>
      </c>
      <c r="F15" s="463" t="s">
        <v>107</v>
      </c>
      <c r="G15" s="463" t="s">
        <v>108</v>
      </c>
      <c r="H15" s="463" t="s">
        <v>120</v>
      </c>
      <c r="I15" s="908" t="s">
        <v>525</v>
      </c>
      <c r="J15" s="909"/>
      <c r="K15" s="463" t="s">
        <v>121</v>
      </c>
      <c r="L15" s="463" t="s">
        <v>122</v>
      </c>
      <c r="M15" s="463" t="s">
        <v>214</v>
      </c>
      <c r="N15" s="463" t="s">
        <v>235</v>
      </c>
      <c r="O15" s="463" t="s">
        <v>236</v>
      </c>
      <c r="P15" s="463" t="s">
        <v>170</v>
      </c>
      <c r="Q15" s="463" t="s">
        <v>171</v>
      </c>
      <c r="R15" s="355"/>
    </row>
    <row r="16" spans="2:18" ht="14.25" customHeight="1">
      <c r="B16" s="353"/>
      <c r="C16" s="354"/>
      <c r="D16" s="463" t="s">
        <v>38</v>
      </c>
      <c r="E16" s="463" t="s">
        <v>39</v>
      </c>
      <c r="F16" s="653" t="s">
        <v>43</v>
      </c>
      <c r="G16" s="463" t="s">
        <v>40</v>
      </c>
      <c r="H16" s="463" t="s">
        <v>41</v>
      </c>
      <c r="I16" s="910"/>
      <c r="J16" s="911"/>
      <c r="K16" s="463" t="s">
        <v>42</v>
      </c>
      <c r="L16" s="463" t="s">
        <v>47</v>
      </c>
      <c r="M16" s="463" t="s">
        <v>199</v>
      </c>
      <c r="N16" s="463" t="s">
        <v>209</v>
      </c>
      <c r="O16" s="654" t="s">
        <v>210</v>
      </c>
      <c r="P16" s="463" t="s">
        <v>221</v>
      </c>
      <c r="Q16" s="463" t="s">
        <v>222</v>
      </c>
      <c r="R16" s="355"/>
    </row>
    <row r="17" spans="2:18" ht="65.25" customHeight="1">
      <c r="B17" s="353"/>
      <c r="C17" s="354"/>
      <c r="D17" s="848" t="s">
        <v>127</v>
      </c>
      <c r="E17" s="848" t="s">
        <v>126</v>
      </c>
      <c r="F17" s="848" t="s">
        <v>172</v>
      </c>
      <c r="G17" s="848" t="s">
        <v>173</v>
      </c>
      <c r="H17" s="495" t="s">
        <v>524</v>
      </c>
      <c r="I17" s="912"/>
      <c r="J17" s="913"/>
      <c r="K17" s="495" t="s">
        <v>174</v>
      </c>
      <c r="L17" s="495" t="s">
        <v>526</v>
      </c>
      <c r="M17" s="495" t="s">
        <v>527</v>
      </c>
      <c r="N17" s="495" t="s">
        <v>528</v>
      </c>
      <c r="O17" s="467" t="s">
        <v>529</v>
      </c>
      <c r="P17" s="655" t="s">
        <v>233</v>
      </c>
      <c r="Q17" s="656" t="s">
        <v>234</v>
      </c>
      <c r="R17" s="355"/>
    </row>
    <row r="18" spans="2:18" ht="160.5">
      <c r="B18" s="353"/>
      <c r="C18" s="354"/>
      <c r="D18" s="849"/>
      <c r="E18" s="849"/>
      <c r="F18" s="849"/>
      <c r="G18" s="849"/>
      <c r="H18" s="467" t="s">
        <v>530</v>
      </c>
      <c r="I18" s="495" t="s">
        <v>175</v>
      </c>
      <c r="J18" s="495" t="s">
        <v>176</v>
      </c>
      <c r="K18" s="467" t="s">
        <v>73</v>
      </c>
      <c r="L18" s="467" t="s">
        <v>177</v>
      </c>
      <c r="M18" s="467" t="s">
        <v>178</v>
      </c>
      <c r="N18" s="467" t="s">
        <v>179</v>
      </c>
      <c r="O18" s="467" t="s">
        <v>180</v>
      </c>
      <c r="P18" s="467" t="s">
        <v>181</v>
      </c>
      <c r="Q18" s="657" t="s">
        <v>182</v>
      </c>
      <c r="R18" s="355"/>
    </row>
    <row r="19" spans="2:18" s="665" customFormat="1" ht="40.5" customHeight="1">
      <c r="B19" s="68"/>
      <c r="C19" s="669"/>
      <c r="D19" s="496" t="s">
        <v>128</v>
      </c>
      <c r="E19" s="496" t="s">
        <v>129</v>
      </c>
      <c r="F19" s="496" t="s">
        <v>129</v>
      </c>
      <c r="G19" s="467" t="s">
        <v>128</v>
      </c>
      <c r="H19" s="496" t="s">
        <v>0</v>
      </c>
      <c r="I19" s="664"/>
      <c r="J19" s="664"/>
      <c r="K19" s="496" t="s">
        <v>531</v>
      </c>
      <c r="L19" s="496"/>
      <c r="M19" s="496"/>
      <c r="N19" s="496" t="s">
        <v>0</v>
      </c>
      <c r="O19" s="496" t="s">
        <v>0</v>
      </c>
      <c r="P19" s="655" t="s">
        <v>1</v>
      </c>
      <c r="Q19" s="656" t="s">
        <v>1</v>
      </c>
      <c r="R19" s="67"/>
    </row>
    <row r="20" spans="2:18" ht="19.5" customHeight="1">
      <c r="B20" s="353"/>
      <c r="C20" s="580" t="s">
        <v>219</v>
      </c>
      <c r="D20" s="516">
        <v>1000000</v>
      </c>
      <c r="E20" s="516">
        <v>500000</v>
      </c>
      <c r="F20" s="676">
        <v>2679000</v>
      </c>
      <c r="G20" s="677" t="s">
        <v>239</v>
      </c>
      <c r="H20" s="677">
        <v>587.4</v>
      </c>
      <c r="I20" s="677">
        <f>IF(ISERROR(D20/(F20-E20)),"",D20/(F20-E20))</f>
        <v>0.45892611289582375</v>
      </c>
      <c r="J20" s="677">
        <f>IF(ISERROR((F20-D20)/E20),"",(F20-D20)/E20)</f>
        <v>3.358</v>
      </c>
      <c r="K20" s="485">
        <v>2.3</v>
      </c>
      <c r="L20" s="485">
        <v>0.33</v>
      </c>
      <c r="M20" s="485">
        <v>0.71</v>
      </c>
      <c r="N20" s="485">
        <f>+IF(ISERROR(H20*(D20/(D20+E20*K20))),"",H20*(D20/(D20+E20*K20)))</f>
        <v>273.2093023255814</v>
      </c>
      <c r="O20" s="486">
        <f>IF(ISERROR(H20-N20),"",H20-N20)</f>
        <v>314.1906976744186</v>
      </c>
      <c r="P20" s="486">
        <f>IF(ISERROR(N20*1000/D20),"",N20*1000/D20)</f>
        <v>0.27320930232558144</v>
      </c>
      <c r="Q20" s="486">
        <f>IF(ISERROR(O20*1000/E20),"",O20*1000/E20)</f>
        <v>0.6283813953488371</v>
      </c>
      <c r="R20" s="355"/>
    </row>
    <row r="21" spans="2:18" s="639" customFormat="1" ht="10.5" customHeight="1">
      <c r="B21" s="670"/>
      <c r="C21" s="671"/>
      <c r="D21" s="659"/>
      <c r="E21" s="660"/>
      <c r="F21" s="660"/>
      <c r="G21" s="473"/>
      <c r="H21" s="473"/>
      <c r="I21" s="661">
        <f>IF(ISERROR(D21/(F21-E21)),"",D21/(F21-E21))</f>
      </c>
      <c r="J21" s="661">
        <f>IF(ISERROR((F21-D21)/E21),"",(F21-D21)/E21)</f>
      </c>
      <c r="K21" s="660"/>
      <c r="L21" s="391"/>
      <c r="M21" s="391"/>
      <c r="N21" s="391"/>
      <c r="O21" s="662"/>
      <c r="P21" s="662"/>
      <c r="Q21" s="662"/>
      <c r="R21" s="678"/>
    </row>
    <row r="22" spans="2:18" s="640" customFormat="1" ht="20.25" customHeight="1">
      <c r="B22" s="672"/>
      <c r="C22" s="673"/>
      <c r="D22" s="178"/>
      <c r="E22" s="684"/>
      <c r="F22" s="685"/>
      <c r="G22" s="686"/>
      <c r="H22" s="685"/>
      <c r="I22" s="418">
        <f>IF(ISERROR(D22/(F22-E22)),"",D22/(F22-E22))</f>
      </c>
      <c r="J22" s="418">
        <f>IF(ISERROR((F22-D22)/E22),"",(F22-D22)/E22)</f>
      </c>
      <c r="K22" s="684"/>
      <c r="L22" s="691">
        <f>+IF(ISERROR((D22+K22*E22)/(F22*K22)),"",(D22+K22*E22)/(F22*K22))</f>
      </c>
      <c r="M22" s="691">
        <f>IF(ISERROR(K22*L22),"",K22*L22)</f>
      </c>
      <c r="N22" s="418">
        <f>+IF(ISERROR(H22*(D22/(D22+E22*K22))),"",H22*(D22/(D22+E22*K22)))</f>
      </c>
      <c r="O22" s="418">
        <f>IF(ISERROR(H22-N22),"",H22-N22)</f>
      </c>
      <c r="P22" s="418">
        <f aca="true" t="shared" si="0" ref="P22:Q24">IF(ISERROR(N22*1000/D22),"",N22*1000/D22)</f>
      </c>
      <c r="Q22" s="418">
        <f t="shared" si="0"/>
      </c>
      <c r="R22" s="679"/>
    </row>
    <row r="23" spans="2:18" s="640" customFormat="1" ht="19.5" customHeight="1">
      <c r="B23" s="672"/>
      <c r="C23" s="673"/>
      <c r="D23" s="178"/>
      <c r="E23" s="178"/>
      <c r="F23" s="178"/>
      <c r="G23" s="178"/>
      <c r="H23" s="684"/>
      <c r="I23" s="418">
        <f>IF(ISERROR(D23/(F23-E23)),"",D23/(F23-E23))</f>
      </c>
      <c r="J23" s="418">
        <f>IF(ISERROR((F23-D23)/E23),"",(F23-D23)/E23)</f>
      </c>
      <c r="K23" s="684"/>
      <c r="L23" s="691">
        <f>+IF(ISERROR((D23+K23*E23)/(F23*K23)),"",(D23+K23*E23)/(F23*K23))</f>
      </c>
      <c r="M23" s="691">
        <f>IF(ISERROR(K23*L23),"",K23*L23)</f>
      </c>
      <c r="N23" s="418">
        <f>+IF(ISERROR(H23*(D23/(D23+E23*K23))),"",H23*(D23/(D23+E23*K23)))</f>
      </c>
      <c r="O23" s="418">
        <f>IF(ISERROR(H23-N23),"",H23-N23)</f>
      </c>
      <c r="P23" s="418">
        <f t="shared" si="0"/>
      </c>
      <c r="Q23" s="418">
        <f t="shared" si="0"/>
      </c>
      <c r="R23" s="679"/>
    </row>
    <row r="24" spans="2:18" s="640" customFormat="1" ht="19.5" customHeight="1">
      <c r="B24" s="672"/>
      <c r="C24" s="673"/>
      <c r="D24" s="687"/>
      <c r="E24" s="688"/>
      <c r="F24" s="687"/>
      <c r="G24" s="687"/>
      <c r="H24" s="689"/>
      <c r="I24" s="690">
        <f>IF(ISERROR(D24/(F24-E24)),"",D24/(F24-E24))</f>
      </c>
      <c r="J24" s="690">
        <f>IF(ISERROR((F24-D24)/E24),"",(F24-D24)/E24)</f>
      </c>
      <c r="K24" s="689"/>
      <c r="L24" s="692">
        <f>+IF(ISERROR((D24+K24*E24)/(F24*K24)),"",(D24+K24*E24)/(F24*K24))</f>
      </c>
      <c r="M24" s="692">
        <f>IF(ISERROR(K24*L24),"",K24*L24)</f>
      </c>
      <c r="N24" s="690">
        <f>+IF(ISERROR(H24*(D24/(D24+E24*K24))),"",H24*(D24/(D24+E24*K24)))</f>
      </c>
      <c r="O24" s="690">
        <f>IF(ISERROR(H24-N24),"",H24-N24)</f>
      </c>
      <c r="P24" s="690">
        <f t="shared" si="0"/>
      </c>
      <c r="Q24" s="690">
        <f t="shared" si="0"/>
      </c>
      <c r="R24" s="679"/>
    </row>
    <row r="25" spans="2:18" ht="19.5" customHeight="1">
      <c r="B25" s="353"/>
      <c r="C25" s="354"/>
      <c r="D25" s="681"/>
      <c r="E25" s="681"/>
      <c r="F25" s="681"/>
      <c r="G25" s="681"/>
      <c r="H25" s="681"/>
      <c r="I25" s="681"/>
      <c r="J25" s="681"/>
      <c r="K25" s="681"/>
      <c r="L25" s="681"/>
      <c r="M25" s="681"/>
      <c r="N25" s="682"/>
      <c r="O25" s="354"/>
      <c r="P25" s="682"/>
      <c r="Q25" s="683"/>
      <c r="R25" s="355"/>
    </row>
    <row r="26" spans="2:18" ht="14.25" thickBot="1">
      <c r="B26" s="674"/>
      <c r="C26" s="675"/>
      <c r="D26" s="675"/>
      <c r="E26" s="675"/>
      <c r="F26" s="675"/>
      <c r="G26" s="675"/>
      <c r="H26" s="675"/>
      <c r="I26" s="675"/>
      <c r="J26" s="675"/>
      <c r="K26" s="675"/>
      <c r="L26" s="675"/>
      <c r="M26" s="675"/>
      <c r="N26" s="675"/>
      <c r="O26" s="675"/>
      <c r="P26" s="675"/>
      <c r="Q26" s="675"/>
      <c r="R26" s="680"/>
    </row>
    <row r="27" ht="14.25" thickTop="1"/>
    <row r="28" spans="2:17" s="503" customFormat="1" ht="52.5" customHeight="1">
      <c r="B28" s="901" t="s">
        <v>183</v>
      </c>
      <c r="C28" s="902"/>
      <c r="D28" s="902"/>
      <c r="E28" s="902"/>
      <c r="F28" s="902"/>
      <c r="G28" s="902"/>
      <c r="H28" s="902"/>
      <c r="I28" s="902"/>
      <c r="J28" s="902"/>
      <c r="K28" s="902"/>
      <c r="L28" s="902"/>
      <c r="M28" s="902"/>
      <c r="N28" s="902"/>
      <c r="O28" s="902"/>
      <c r="P28" s="902"/>
      <c r="Q28" s="903"/>
    </row>
    <row r="31" spans="12:13" ht="13.5">
      <c r="L31" s="436"/>
      <c r="M31" s="436"/>
    </row>
  </sheetData>
  <sheetProtection password="CD08" sheet="1"/>
  <mergeCells count="9">
    <mergeCell ref="B4:O4"/>
    <mergeCell ref="B28:Q28"/>
    <mergeCell ref="B11:K11"/>
    <mergeCell ref="B13:L13"/>
    <mergeCell ref="I15:J17"/>
    <mergeCell ref="D17:D18"/>
    <mergeCell ref="E17:E18"/>
    <mergeCell ref="F17:F18"/>
    <mergeCell ref="G17:G18"/>
  </mergeCells>
  <printOptions/>
  <pageMargins left="0.75" right="0.75" top="1" bottom="1" header="0.5" footer="0.5"/>
  <pageSetup fitToHeight="1" fitToWidth="1" horizontalDpi="600" verticalDpi="600" orientation="landscape" scale="46" r:id="rId1"/>
  <headerFooter alignWithMargins="0">
    <oddHeader>&amp;L&amp;D&amp;R&amp;F</oddHeader>
  </headerFooter>
  <rowBreaks count="1" manualBreakCount="1">
    <brk id="8" max="255" man="1"/>
  </rowBreaks>
</worksheet>
</file>

<file path=xl/worksheets/sheet16.xml><?xml version="1.0" encoding="utf-8"?>
<worksheet xmlns="http://schemas.openxmlformats.org/spreadsheetml/2006/main" xmlns:r="http://schemas.openxmlformats.org/officeDocument/2006/relationships">
  <dimension ref="B1:K43"/>
  <sheetViews>
    <sheetView zoomScale="115" zoomScaleNormal="115" zoomScalePageLayoutView="0" workbookViewId="0" topLeftCell="A1">
      <pane ySplit="8" topLeftCell="A24" activePane="bottomLeft" state="frozen"/>
      <selection pane="topLeft" activeCell="A1" sqref="A1"/>
      <selection pane="bottomLeft" activeCell="N30" sqref="N30"/>
    </sheetView>
  </sheetViews>
  <sheetFormatPr defaultColWidth="9.00390625" defaultRowHeight="12.75"/>
  <cols>
    <col min="1" max="2" width="3.57421875" style="506" customWidth="1"/>
    <col min="3" max="3" width="48.57421875" style="506" customWidth="1"/>
    <col min="4" max="4" width="10.28125" style="506" customWidth="1"/>
    <col min="5" max="5" width="6.00390625" style="506" bestFit="1" customWidth="1"/>
    <col min="6" max="6" width="5.8515625" style="506" bestFit="1" customWidth="1"/>
    <col min="7" max="7" width="6.28125" style="506" bestFit="1" customWidth="1"/>
    <col min="8" max="8" width="5.140625" style="506" bestFit="1" customWidth="1"/>
    <col min="9" max="10" width="6.28125" style="506" bestFit="1" customWidth="1"/>
    <col min="11" max="11" width="3.57421875" style="506" customWidth="1"/>
    <col min="12" max="16384" width="9.00390625" style="506" customWidth="1"/>
  </cols>
  <sheetData>
    <row r="1" ht="21">
      <c r="B1" s="302" t="s">
        <v>536</v>
      </c>
    </row>
    <row r="2" ht="15">
      <c r="B2" s="576" t="s">
        <v>551</v>
      </c>
    </row>
    <row r="3" ht="15">
      <c r="B3" s="576"/>
    </row>
    <row r="4" spans="2:10" ht="30.75" customHeight="1">
      <c r="B4" s="919" t="s">
        <v>553</v>
      </c>
      <c r="C4" s="919"/>
      <c r="D4" s="919"/>
      <c r="E4" s="919"/>
      <c r="F4" s="919"/>
      <c r="G4" s="919"/>
      <c r="H4" s="919"/>
      <c r="I4" s="919"/>
      <c r="J4" s="919"/>
    </row>
    <row r="5" ht="15.75" thickBot="1">
      <c r="B5" s="575"/>
    </row>
    <row r="6" spans="2:11" ht="15.75" thickTop="1">
      <c r="B6" s="520"/>
      <c r="C6" s="521"/>
      <c r="D6" s="521"/>
      <c r="E6" s="521"/>
      <c r="F6" s="521"/>
      <c r="G6" s="521"/>
      <c r="H6" s="521"/>
      <c r="I6" s="521"/>
      <c r="J6" s="521"/>
      <c r="K6" s="578"/>
    </row>
    <row r="7" spans="2:11" ht="18">
      <c r="B7" s="362"/>
      <c r="C7" s="920" t="s">
        <v>240</v>
      </c>
      <c r="D7" s="921" t="s">
        <v>243</v>
      </c>
      <c r="E7" s="917" t="s">
        <v>532</v>
      </c>
      <c r="F7" s="918"/>
      <c r="G7" s="917" t="s">
        <v>533</v>
      </c>
      <c r="H7" s="918"/>
      <c r="I7" s="917" t="s">
        <v>534</v>
      </c>
      <c r="J7" s="918"/>
      <c r="K7" s="364"/>
    </row>
    <row r="8" spans="2:11" ht="15">
      <c r="B8" s="362"/>
      <c r="C8" s="920"/>
      <c r="D8" s="922"/>
      <c r="E8" s="697" t="s">
        <v>244</v>
      </c>
      <c r="F8" s="697" t="s">
        <v>266</v>
      </c>
      <c r="G8" s="697" t="s">
        <v>244</v>
      </c>
      <c r="H8" s="697" t="s">
        <v>554</v>
      </c>
      <c r="I8" s="697" t="s">
        <v>244</v>
      </c>
      <c r="J8" s="697" t="s">
        <v>554</v>
      </c>
      <c r="K8" s="364"/>
    </row>
    <row r="9" spans="2:11" ht="15.75" customHeight="1">
      <c r="B9" s="362"/>
      <c r="C9" s="334" t="str">
        <f>'Carbon Contents and HHVs'!C9</f>
        <v>Ethane</v>
      </c>
      <c r="D9" s="694" t="s">
        <v>248</v>
      </c>
      <c r="E9" s="698">
        <v>986</v>
      </c>
      <c r="F9" s="698">
        <v>57.3</v>
      </c>
      <c r="G9" s="698">
        <v>0.024</v>
      </c>
      <c r="H9" s="698">
        <v>1.4</v>
      </c>
      <c r="I9" s="698">
        <v>0.108</v>
      </c>
      <c r="J9" s="698">
        <v>6.3</v>
      </c>
      <c r="K9" s="364"/>
    </row>
    <row r="10" spans="2:11" ht="15.75" customHeight="1">
      <c r="B10" s="362"/>
      <c r="C10" s="334" t="str">
        <f>'Carbon Contents and HHVs'!C10</f>
        <v>Propane - Industry</v>
      </c>
      <c r="D10" s="694" t="s">
        <v>248</v>
      </c>
      <c r="E10" s="698">
        <v>1515</v>
      </c>
      <c r="F10" s="698">
        <v>59.9</v>
      </c>
      <c r="G10" s="698">
        <v>0.024</v>
      </c>
      <c r="H10" s="698">
        <v>0.95</v>
      </c>
      <c r="I10" s="698">
        <v>0.108</v>
      </c>
      <c r="J10" s="698">
        <v>4.3</v>
      </c>
      <c r="K10" s="364"/>
    </row>
    <row r="11" spans="2:11" ht="15.75" customHeight="1">
      <c r="B11" s="362"/>
      <c r="C11" s="334" t="str">
        <f>'Carbon Contents and HHVs'!C11</f>
        <v>Propane - Onsite transportation</v>
      </c>
      <c r="D11" s="694" t="s">
        <v>248</v>
      </c>
      <c r="E11" s="698">
        <v>1515</v>
      </c>
      <c r="F11" s="698">
        <v>59.9</v>
      </c>
      <c r="G11" s="698">
        <v>0.64</v>
      </c>
      <c r="H11" s="698">
        <v>25</v>
      </c>
      <c r="I11" s="698">
        <v>0.087</v>
      </c>
      <c r="J11" s="698">
        <v>3.4</v>
      </c>
      <c r="K11" s="364"/>
    </row>
    <row r="12" spans="2:11" ht="15.75" customHeight="1">
      <c r="B12" s="362"/>
      <c r="C12" s="334" t="str">
        <f>'Carbon Contents and HHVs'!C12</f>
        <v>Butane</v>
      </c>
      <c r="D12" s="694" t="s">
        <v>248</v>
      </c>
      <c r="E12" s="698">
        <v>1747</v>
      </c>
      <c r="F12" s="698">
        <v>61.4</v>
      </c>
      <c r="G12" s="698">
        <v>0.024</v>
      </c>
      <c r="H12" s="698">
        <v>0.84</v>
      </c>
      <c r="I12" s="698">
        <v>0.108</v>
      </c>
      <c r="J12" s="698">
        <v>3.8</v>
      </c>
      <c r="K12" s="364"/>
    </row>
    <row r="13" spans="2:11" ht="15.75" customHeight="1">
      <c r="B13" s="362"/>
      <c r="C13" s="334" t="str">
        <f>'Carbon Contents and HHVs'!C13</f>
        <v>Diesel - Stationary combustion</v>
      </c>
      <c r="D13" s="694" t="s">
        <v>248</v>
      </c>
      <c r="E13" s="698">
        <v>2681</v>
      </c>
      <c r="F13" s="698">
        <v>69.9</v>
      </c>
      <c r="G13" s="715">
        <v>0.078</v>
      </c>
      <c r="H13" s="715">
        <v>2</v>
      </c>
      <c r="I13" s="715">
        <v>0.02</v>
      </c>
      <c r="J13" s="717">
        <v>0.58</v>
      </c>
      <c r="K13" s="364"/>
    </row>
    <row r="14" spans="2:11" ht="15.75" customHeight="1">
      <c r="B14" s="362"/>
      <c r="C14" s="334" t="str">
        <f>'Carbon Contents and HHVs'!C14</f>
        <v>Diesel - Onsite transportation, &lt; 19 kW</v>
      </c>
      <c r="D14" s="694" t="s">
        <v>248</v>
      </c>
      <c r="E14" s="698">
        <v>2681</v>
      </c>
      <c r="F14" s="698">
        <v>69.9</v>
      </c>
      <c r="G14" s="698">
        <v>0.073</v>
      </c>
      <c r="H14" s="698">
        <v>1.9</v>
      </c>
      <c r="I14" s="698">
        <v>0.02</v>
      </c>
      <c r="J14" s="698">
        <v>0.58</v>
      </c>
      <c r="K14" s="364"/>
    </row>
    <row r="15" spans="2:11" ht="15.75" customHeight="1">
      <c r="B15" s="362"/>
      <c r="C15" s="334" t="str">
        <f>'Carbon Contents and HHVs'!C15</f>
        <v>Diesel - Onsite transportation, &gt;= 19 kW, Tier 1-3</v>
      </c>
      <c r="D15" s="694" t="s">
        <v>248</v>
      </c>
      <c r="E15" s="698">
        <v>2681</v>
      </c>
      <c r="F15" s="698">
        <v>69.9</v>
      </c>
      <c r="G15" s="698">
        <v>0.073</v>
      </c>
      <c r="H15" s="698">
        <v>1.9</v>
      </c>
      <c r="I15" s="698">
        <v>0.02</v>
      </c>
      <c r="J15" s="698">
        <v>0.58</v>
      </c>
      <c r="K15" s="364"/>
    </row>
    <row r="16" spans="2:11" ht="15.75" customHeight="1">
      <c r="B16" s="362"/>
      <c r="C16" s="334" t="str">
        <f>'Carbon Contents and HHVs'!C16</f>
        <v>Diesel - Onsite transportation, &gt;= 19 kW, Tier 1-4</v>
      </c>
      <c r="D16" s="694" t="s">
        <v>248</v>
      </c>
      <c r="E16" s="698">
        <v>2681</v>
      </c>
      <c r="F16" s="698">
        <v>69.9</v>
      </c>
      <c r="G16" s="698">
        <v>0.073</v>
      </c>
      <c r="H16" s="698">
        <v>1.9</v>
      </c>
      <c r="I16" s="698">
        <v>0.23</v>
      </c>
      <c r="J16" s="698">
        <v>5.9</v>
      </c>
      <c r="K16" s="364"/>
    </row>
    <row r="17" spans="2:11" ht="15.75" customHeight="1">
      <c r="B17" s="362"/>
      <c r="C17" s="334" t="str">
        <f>'Carbon Contents and HHVs'!C17</f>
        <v>Gasoline - Stationary combustion</v>
      </c>
      <c r="D17" s="694" t="s">
        <v>248</v>
      </c>
      <c r="E17" s="698">
        <v>2307</v>
      </c>
      <c r="F17" s="699">
        <v>69</v>
      </c>
      <c r="G17" s="698">
        <v>0.1</v>
      </c>
      <c r="H17" s="698">
        <v>3</v>
      </c>
      <c r="I17" s="698">
        <v>0.02</v>
      </c>
      <c r="J17" s="698">
        <v>0.6</v>
      </c>
      <c r="K17" s="364"/>
    </row>
    <row r="18" spans="2:11" ht="15.75" customHeight="1">
      <c r="B18" s="362"/>
      <c r="C18" s="334" t="str">
        <f>'Carbon Contents and HHVs'!C18</f>
        <v>Gasoline - Onsite transportation, 2-stroke</v>
      </c>
      <c r="D18" s="694" t="s">
        <v>248</v>
      </c>
      <c r="E18" s="698">
        <v>2307</v>
      </c>
      <c r="F18" s="699">
        <v>69</v>
      </c>
      <c r="G18" s="698">
        <v>10.6</v>
      </c>
      <c r="H18" s="716">
        <v>320</v>
      </c>
      <c r="I18" s="698">
        <v>0.013</v>
      </c>
      <c r="J18" s="698">
        <v>0.38</v>
      </c>
      <c r="K18" s="364"/>
    </row>
    <row r="19" spans="2:11" ht="15.75" customHeight="1">
      <c r="B19" s="362"/>
      <c r="C19" s="334" t="str">
        <f>'Carbon Contents and HHVs'!C19</f>
        <v>Gasoline - Onsite transportation, 4-stroke</v>
      </c>
      <c r="D19" s="694" t="s">
        <v>248</v>
      </c>
      <c r="E19" s="698">
        <v>2307</v>
      </c>
      <c r="F19" s="699">
        <v>69</v>
      </c>
      <c r="G19" s="698">
        <v>5.08</v>
      </c>
      <c r="H19" s="716">
        <v>150</v>
      </c>
      <c r="I19" s="698">
        <v>0.064</v>
      </c>
      <c r="J19" s="698">
        <v>1.9</v>
      </c>
      <c r="K19" s="364"/>
    </row>
    <row r="20" spans="2:11" ht="15.75" customHeight="1">
      <c r="B20" s="362"/>
      <c r="C20" s="334" t="str">
        <f>'Carbon Contents and HHVs'!C20</f>
        <v>Ethanol - Stationary combustion</v>
      </c>
      <c r="D20" s="694" t="s">
        <v>248</v>
      </c>
      <c r="E20" s="698">
        <v>1508</v>
      </c>
      <c r="F20" s="698">
        <v>64.4</v>
      </c>
      <c r="G20" s="333">
        <f aca="true" t="shared" si="0" ref="G20:J22">G17</f>
        <v>0.1</v>
      </c>
      <c r="H20" s="333">
        <f t="shared" si="0"/>
        <v>3</v>
      </c>
      <c r="I20" s="333">
        <f t="shared" si="0"/>
        <v>0.02</v>
      </c>
      <c r="J20" s="333">
        <f t="shared" si="0"/>
        <v>0.6</v>
      </c>
      <c r="K20" s="364"/>
    </row>
    <row r="21" spans="2:11" ht="15.75" customHeight="1">
      <c r="B21" s="362"/>
      <c r="C21" s="334" t="str">
        <f>'Carbon Contents and HHVs'!C21</f>
        <v>Ethanol - Onsite transportation, 2-stroke</v>
      </c>
      <c r="D21" s="694" t="s">
        <v>248</v>
      </c>
      <c r="E21" s="698">
        <v>1508</v>
      </c>
      <c r="F21" s="698">
        <v>64.4</v>
      </c>
      <c r="G21" s="333">
        <f t="shared" si="0"/>
        <v>10.6</v>
      </c>
      <c r="H21" s="333">
        <f t="shared" si="0"/>
        <v>320</v>
      </c>
      <c r="I21" s="333">
        <f t="shared" si="0"/>
        <v>0.013</v>
      </c>
      <c r="J21" s="333">
        <f t="shared" si="0"/>
        <v>0.38</v>
      </c>
      <c r="K21" s="364"/>
    </row>
    <row r="22" spans="2:11" ht="15.75" customHeight="1">
      <c r="B22" s="362"/>
      <c r="C22" s="334" t="str">
        <f>'Carbon Contents and HHVs'!C22</f>
        <v>Ethanol - Onsite transportation, 4-stroke</v>
      </c>
      <c r="D22" s="694" t="s">
        <v>248</v>
      </c>
      <c r="E22" s="698">
        <v>1508</v>
      </c>
      <c r="F22" s="698">
        <v>64.4</v>
      </c>
      <c r="G22" s="333">
        <f t="shared" si="0"/>
        <v>5.08</v>
      </c>
      <c r="H22" s="333">
        <f t="shared" si="0"/>
        <v>150</v>
      </c>
      <c r="I22" s="333">
        <f t="shared" si="0"/>
        <v>0.064</v>
      </c>
      <c r="J22" s="333">
        <f t="shared" si="0"/>
        <v>1.9</v>
      </c>
      <c r="K22" s="364"/>
    </row>
    <row r="23" spans="2:11" ht="15.75" customHeight="1">
      <c r="B23" s="362"/>
      <c r="C23" s="334" t="str">
        <f>'Carbon Contents and HHVs'!C23</f>
        <v>Biodiesel - Stationary combustion</v>
      </c>
      <c r="D23" s="694" t="s">
        <v>248</v>
      </c>
      <c r="E23" s="698">
        <v>2472</v>
      </c>
      <c r="F23" s="698">
        <v>70.3</v>
      </c>
      <c r="G23" s="333">
        <f aca="true" t="shared" si="1" ref="G23:J26">G13</f>
        <v>0.078</v>
      </c>
      <c r="H23" s="333">
        <f t="shared" si="1"/>
        <v>2</v>
      </c>
      <c r="I23" s="333">
        <f t="shared" si="1"/>
        <v>0.02</v>
      </c>
      <c r="J23" s="333">
        <f t="shared" si="1"/>
        <v>0.58</v>
      </c>
      <c r="K23" s="364"/>
    </row>
    <row r="24" spans="2:11" ht="15.75" customHeight="1">
      <c r="B24" s="362"/>
      <c r="C24" s="334" t="str">
        <f>'Carbon Contents and HHVs'!C24</f>
        <v>Biodiesel - Onsite transportation, &lt; 19 kW</v>
      </c>
      <c r="D24" s="694" t="s">
        <v>248</v>
      </c>
      <c r="E24" s="698">
        <v>2472</v>
      </c>
      <c r="F24" s="698">
        <v>70.3</v>
      </c>
      <c r="G24" s="333">
        <f t="shared" si="1"/>
        <v>0.073</v>
      </c>
      <c r="H24" s="333">
        <f t="shared" si="1"/>
        <v>1.9</v>
      </c>
      <c r="I24" s="333">
        <f t="shared" si="1"/>
        <v>0.02</v>
      </c>
      <c r="J24" s="333">
        <f t="shared" si="1"/>
        <v>0.58</v>
      </c>
      <c r="K24" s="364"/>
    </row>
    <row r="25" spans="2:11" ht="15.75" customHeight="1">
      <c r="B25" s="362"/>
      <c r="C25" s="334" t="str">
        <f>'Carbon Contents and HHVs'!C25</f>
        <v>Biodiesel - Onsite transportation, &gt;= 19 kW, Tier 1-3</v>
      </c>
      <c r="D25" s="694" t="s">
        <v>248</v>
      </c>
      <c r="E25" s="698">
        <v>2472</v>
      </c>
      <c r="F25" s="698">
        <v>70.3</v>
      </c>
      <c r="G25" s="333">
        <f t="shared" si="1"/>
        <v>0.073</v>
      </c>
      <c r="H25" s="333">
        <f t="shared" si="1"/>
        <v>1.9</v>
      </c>
      <c r="I25" s="333">
        <f t="shared" si="1"/>
        <v>0.02</v>
      </c>
      <c r="J25" s="333">
        <f t="shared" si="1"/>
        <v>0.58</v>
      </c>
      <c r="K25" s="364"/>
    </row>
    <row r="26" spans="2:11" ht="15.75" customHeight="1">
      <c r="B26" s="362"/>
      <c r="C26" s="334" t="str">
        <f>'Carbon Contents and HHVs'!C26</f>
        <v>Biodiesel - Onsite transportation, &gt;= 19 kW, Tier 1-4</v>
      </c>
      <c r="D26" s="694" t="s">
        <v>248</v>
      </c>
      <c r="E26" s="698">
        <v>2472</v>
      </c>
      <c r="F26" s="698">
        <v>70.3</v>
      </c>
      <c r="G26" s="333">
        <f t="shared" si="1"/>
        <v>0.073</v>
      </c>
      <c r="H26" s="333">
        <f t="shared" si="1"/>
        <v>1.9</v>
      </c>
      <c r="I26" s="333">
        <f t="shared" si="1"/>
        <v>0.23</v>
      </c>
      <c r="J26" s="333">
        <f t="shared" si="1"/>
        <v>5.9</v>
      </c>
      <c r="K26" s="364"/>
    </row>
    <row r="27" spans="2:11" ht="15.75" customHeight="1">
      <c r="B27" s="362"/>
      <c r="C27" s="658" t="s">
        <v>267</v>
      </c>
      <c r="D27" s="694" t="s">
        <v>248</v>
      </c>
      <c r="E27" s="926" t="s">
        <v>271</v>
      </c>
      <c r="F27" s="927"/>
      <c r="G27" s="698">
        <v>0.006</v>
      </c>
      <c r="H27" s="698">
        <v>0.15</v>
      </c>
      <c r="I27" s="698">
        <v>0.031</v>
      </c>
      <c r="J27" s="698">
        <v>0.8</v>
      </c>
      <c r="K27" s="364"/>
    </row>
    <row r="28" spans="2:11" ht="15.75" customHeight="1">
      <c r="B28" s="362"/>
      <c r="C28" s="334" t="s">
        <v>268</v>
      </c>
      <c r="D28" s="694" t="s">
        <v>248</v>
      </c>
      <c r="E28" s="928"/>
      <c r="F28" s="929"/>
      <c r="G28" s="698">
        <v>0.026</v>
      </c>
      <c r="H28" s="698">
        <v>0.67</v>
      </c>
      <c r="I28" s="698">
        <v>0.031</v>
      </c>
      <c r="J28" s="698">
        <v>0.8</v>
      </c>
      <c r="K28" s="364"/>
    </row>
    <row r="29" spans="2:11" ht="15.75" customHeight="1">
      <c r="B29" s="362"/>
      <c r="C29" s="334" t="s">
        <v>269</v>
      </c>
      <c r="D29" s="694" t="s">
        <v>248</v>
      </c>
      <c r="E29" s="928"/>
      <c r="F29" s="929"/>
      <c r="G29" s="698">
        <v>0.12</v>
      </c>
      <c r="H29" s="698">
        <v>2.8</v>
      </c>
      <c r="I29" s="698">
        <v>0.064</v>
      </c>
      <c r="J29" s="698">
        <v>1.5</v>
      </c>
      <c r="K29" s="364"/>
    </row>
    <row r="30" spans="2:11" ht="15.75" customHeight="1">
      <c r="B30" s="362"/>
      <c r="C30" s="334" t="s">
        <v>270</v>
      </c>
      <c r="D30" s="694" t="s">
        <v>248</v>
      </c>
      <c r="E30" s="928"/>
      <c r="F30" s="929"/>
      <c r="G30" s="698">
        <v>0.057</v>
      </c>
      <c r="H30" s="698">
        <v>1.3</v>
      </c>
      <c r="I30" s="698">
        <v>0.064</v>
      </c>
      <c r="J30" s="698">
        <v>1.5</v>
      </c>
      <c r="K30" s="364"/>
    </row>
    <row r="31" spans="2:11" ht="15.75" customHeight="1">
      <c r="B31" s="362"/>
      <c r="C31" s="334" t="s">
        <v>272</v>
      </c>
      <c r="D31" s="694" t="s">
        <v>248</v>
      </c>
      <c r="E31" s="928"/>
      <c r="F31" s="929"/>
      <c r="G31" s="698">
        <v>0.006</v>
      </c>
      <c r="H31" s="698">
        <v>0.16</v>
      </c>
      <c r="I31" s="698">
        <v>0.031</v>
      </c>
      <c r="J31" s="698">
        <v>0.83</v>
      </c>
      <c r="K31" s="364"/>
    </row>
    <row r="32" spans="2:11" ht="15.75" customHeight="1">
      <c r="B32" s="362"/>
      <c r="C32" s="334" t="s">
        <v>273</v>
      </c>
      <c r="D32" s="694" t="s">
        <v>248</v>
      </c>
      <c r="E32" s="928"/>
      <c r="F32" s="929"/>
      <c r="G32" s="698">
        <v>0.026</v>
      </c>
      <c r="H32" s="698">
        <v>0.7</v>
      </c>
      <c r="I32" s="698">
        <v>0.031</v>
      </c>
      <c r="J32" s="698">
        <v>0.83</v>
      </c>
      <c r="K32" s="364"/>
    </row>
    <row r="33" spans="2:11" ht="15.75" customHeight="1">
      <c r="B33" s="362"/>
      <c r="C33" s="700" t="s">
        <v>274</v>
      </c>
      <c r="D33" s="695" t="s">
        <v>535</v>
      </c>
      <c r="E33" s="928"/>
      <c r="F33" s="929"/>
      <c r="G33" s="698">
        <v>0.037</v>
      </c>
      <c r="H33" s="698">
        <v>0.98</v>
      </c>
      <c r="I33" s="698">
        <v>0.033</v>
      </c>
      <c r="J33" s="698">
        <v>0.87</v>
      </c>
      <c r="K33" s="364"/>
    </row>
    <row r="34" spans="2:11" ht="15.75" customHeight="1">
      <c r="B34" s="362"/>
      <c r="C34" s="700" t="s">
        <v>361</v>
      </c>
      <c r="D34" s="695" t="s">
        <v>535</v>
      </c>
      <c r="E34" s="928"/>
      <c r="F34" s="929"/>
      <c r="G34" s="698">
        <v>0.037</v>
      </c>
      <c r="H34" s="698">
        <v>0.98</v>
      </c>
      <c r="I34" s="698">
        <v>0.033</v>
      </c>
      <c r="J34" s="698">
        <v>0.87</v>
      </c>
      <c r="K34" s="364"/>
    </row>
    <row r="35" spans="2:11" ht="15.75" customHeight="1">
      <c r="B35" s="362"/>
      <c r="C35" s="700" t="s">
        <v>275</v>
      </c>
      <c r="D35" s="695" t="s">
        <v>535</v>
      </c>
      <c r="E35" s="928"/>
      <c r="F35" s="929"/>
      <c r="G35" s="698">
        <v>9</v>
      </c>
      <c r="H35" s="698">
        <v>0.2</v>
      </c>
      <c r="I35" s="698">
        <v>0.06</v>
      </c>
      <c r="J35" s="698">
        <v>0.002</v>
      </c>
      <c r="K35" s="364"/>
    </row>
    <row r="36" spans="2:11" ht="15.75" customHeight="1">
      <c r="B36" s="362"/>
      <c r="C36" s="334" t="s">
        <v>250</v>
      </c>
      <c r="D36" s="696" t="s">
        <v>556</v>
      </c>
      <c r="E36" s="928"/>
      <c r="F36" s="929"/>
      <c r="G36" s="923" t="s">
        <v>276</v>
      </c>
      <c r="H36" s="924"/>
      <c r="I36" s="924"/>
      <c r="J36" s="925"/>
      <c r="K36" s="364"/>
    </row>
    <row r="37" spans="2:11" ht="15.75" customHeight="1">
      <c r="B37" s="362"/>
      <c r="C37" s="334" t="s">
        <v>251</v>
      </c>
      <c r="D37" s="696" t="s">
        <v>555</v>
      </c>
      <c r="E37" s="333">
        <v>1715</v>
      </c>
      <c r="F37" s="333">
        <v>83.9</v>
      </c>
      <c r="G37" s="698">
        <v>0.1</v>
      </c>
      <c r="H37" s="698">
        <v>4.74</v>
      </c>
      <c r="I37" s="698">
        <v>0.07</v>
      </c>
      <c r="J37" s="698">
        <v>3.25</v>
      </c>
      <c r="K37" s="364"/>
    </row>
    <row r="38" spans="2:11" ht="15.75" customHeight="1">
      <c r="B38" s="362"/>
      <c r="C38" s="334" t="s">
        <v>252</v>
      </c>
      <c r="D38" s="696" t="s">
        <v>555</v>
      </c>
      <c r="E38" s="718">
        <v>1270</v>
      </c>
      <c r="F38" s="333">
        <v>89.5</v>
      </c>
      <c r="G38" s="698">
        <v>0.029</v>
      </c>
      <c r="H38" s="698">
        <v>2.09</v>
      </c>
      <c r="I38" s="698">
        <v>0.005</v>
      </c>
      <c r="J38" s="698">
        <v>0.38</v>
      </c>
      <c r="K38" s="364"/>
    </row>
    <row r="39" spans="2:11" ht="15.75" customHeight="1">
      <c r="B39" s="362"/>
      <c r="C39" s="334" t="s">
        <v>253</v>
      </c>
      <c r="D39" s="696" t="s">
        <v>555</v>
      </c>
      <c r="E39" s="718">
        <v>1230</v>
      </c>
      <c r="F39" s="333">
        <v>88.8</v>
      </c>
      <c r="G39" s="698">
        <v>0.029</v>
      </c>
      <c r="H39" s="698">
        <v>2.09</v>
      </c>
      <c r="I39" s="698">
        <v>0.005</v>
      </c>
      <c r="J39" s="698">
        <v>0.38</v>
      </c>
      <c r="K39" s="364"/>
    </row>
    <row r="40" spans="2:11" ht="15.75" customHeight="1">
      <c r="B40" s="362"/>
      <c r="C40" s="334" t="s">
        <v>254</v>
      </c>
      <c r="D40" s="696" t="s">
        <v>555</v>
      </c>
      <c r="E40" s="718">
        <v>1320</v>
      </c>
      <c r="F40" s="333">
        <v>90.1</v>
      </c>
      <c r="G40" s="698">
        <v>0.029</v>
      </c>
      <c r="H40" s="698">
        <v>2.09</v>
      </c>
      <c r="I40" s="698">
        <v>0.005</v>
      </c>
      <c r="J40" s="698">
        <v>0.38</v>
      </c>
      <c r="K40" s="364"/>
    </row>
    <row r="41" spans="2:11" ht="15.75" customHeight="1">
      <c r="B41" s="362"/>
      <c r="C41" s="334" t="s">
        <v>255</v>
      </c>
      <c r="D41" s="696" t="s">
        <v>555</v>
      </c>
      <c r="E41" s="914" t="s">
        <v>276</v>
      </c>
      <c r="F41" s="915"/>
      <c r="G41" s="915"/>
      <c r="H41" s="915"/>
      <c r="I41" s="915"/>
      <c r="J41" s="916"/>
      <c r="K41" s="364"/>
    </row>
    <row r="42" spans="2:11" ht="15.75" customHeight="1">
      <c r="B42" s="362"/>
      <c r="C42" s="334" t="s">
        <v>277</v>
      </c>
      <c r="D42" s="696" t="s">
        <v>555</v>
      </c>
      <c r="E42" s="914" t="s">
        <v>276</v>
      </c>
      <c r="F42" s="915"/>
      <c r="G42" s="915"/>
      <c r="H42" s="915"/>
      <c r="I42" s="915"/>
      <c r="J42" s="916"/>
      <c r="K42" s="364"/>
    </row>
    <row r="43" spans="2:11" ht="15.75" thickBot="1">
      <c r="B43" s="500"/>
      <c r="C43" s="518"/>
      <c r="D43" s="518"/>
      <c r="E43" s="518"/>
      <c r="F43" s="518"/>
      <c r="G43" s="518"/>
      <c r="H43" s="518"/>
      <c r="I43" s="518"/>
      <c r="J43" s="518"/>
      <c r="K43" s="561"/>
    </row>
    <row r="44" ht="15.75" thickTop="1"/>
  </sheetData>
  <sheetProtection password="CD08" sheet="1"/>
  <mergeCells count="10">
    <mergeCell ref="E42:J42"/>
    <mergeCell ref="E7:F7"/>
    <mergeCell ref="G7:H7"/>
    <mergeCell ref="I7:J7"/>
    <mergeCell ref="B4:J4"/>
    <mergeCell ref="C7:C8"/>
    <mergeCell ref="D7:D8"/>
    <mergeCell ref="G36:J36"/>
    <mergeCell ref="E27:F36"/>
    <mergeCell ref="E41:J41"/>
  </mergeCells>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G38"/>
  <sheetViews>
    <sheetView zoomScale="115" zoomScaleNormal="115" zoomScalePageLayoutView="0" workbookViewId="0" topLeftCell="A1">
      <selection activeCell="A1" sqref="A1"/>
    </sheetView>
  </sheetViews>
  <sheetFormatPr defaultColWidth="9.7109375" defaultRowHeight="12.75"/>
  <cols>
    <col min="1" max="2" width="3.57421875" style="503" customWidth="1"/>
    <col min="3" max="3" width="30.00390625" style="503" customWidth="1"/>
    <col min="4" max="4" width="37.28125" style="708" customWidth="1"/>
    <col min="5" max="5" width="31.57421875" style="708" customWidth="1"/>
    <col min="6" max="6" width="41.00390625" style="708" customWidth="1"/>
    <col min="7" max="7" width="3.57421875" style="503" customWidth="1"/>
    <col min="8" max="8" width="14.7109375" style="503" customWidth="1"/>
    <col min="9" max="16384" width="9.7109375" style="503" customWidth="1"/>
  </cols>
  <sheetData>
    <row r="1" spans="2:6" s="701" customFormat="1" ht="18" customHeight="1">
      <c r="B1" s="453" t="s">
        <v>45</v>
      </c>
      <c r="D1" s="702"/>
      <c r="E1" s="702"/>
      <c r="F1" s="702"/>
    </row>
    <row r="2" spans="2:6" s="450" customFormat="1" ht="18" customHeight="1" thickBot="1">
      <c r="B2" s="452"/>
      <c r="D2" s="707"/>
      <c r="E2" s="707"/>
      <c r="F2" s="707"/>
    </row>
    <row r="3" spans="2:7" s="450" customFormat="1" ht="19.5" customHeight="1" thickTop="1">
      <c r="B3" s="520"/>
      <c r="C3" s="521"/>
      <c r="D3" s="709"/>
      <c r="E3" s="709"/>
      <c r="F3" s="709"/>
      <c r="G3" s="578"/>
    </row>
    <row r="4" spans="2:7" s="703" customFormat="1" ht="19.5" customHeight="1">
      <c r="B4" s="365"/>
      <c r="C4" s="710" t="s">
        <v>58</v>
      </c>
      <c r="D4" s="711"/>
      <c r="E4" s="711"/>
      <c r="F4" s="711"/>
      <c r="G4" s="366"/>
    </row>
    <row r="5" spans="2:7" s="703" customFormat="1" ht="19.5" customHeight="1">
      <c r="B5" s="365"/>
      <c r="C5" s="704" t="s">
        <v>59</v>
      </c>
      <c r="D5" s="705" t="s">
        <v>60</v>
      </c>
      <c r="E5" s="705" t="s">
        <v>125</v>
      </c>
      <c r="F5" s="705" t="s">
        <v>16</v>
      </c>
      <c r="G5" s="366"/>
    </row>
    <row r="6" spans="2:7" s="703" customFormat="1" ht="19.5" customHeight="1">
      <c r="B6" s="365"/>
      <c r="C6" s="704" t="s">
        <v>57</v>
      </c>
      <c r="D6" s="705" t="s">
        <v>61</v>
      </c>
      <c r="E6" s="705"/>
      <c r="F6" s="705"/>
      <c r="G6" s="366"/>
    </row>
    <row r="7" spans="2:7" s="703" customFormat="1" ht="19.5" customHeight="1">
      <c r="B7" s="365"/>
      <c r="C7" s="704" t="s">
        <v>62</v>
      </c>
      <c r="D7" s="705" t="s">
        <v>109</v>
      </c>
      <c r="E7" s="705" t="s">
        <v>63</v>
      </c>
      <c r="F7" s="705"/>
      <c r="G7" s="366"/>
    </row>
    <row r="8" spans="2:7" s="703" customFormat="1" ht="19.5" customHeight="1">
      <c r="B8" s="365"/>
      <c r="C8" s="704" t="s">
        <v>15</v>
      </c>
      <c r="D8" s="705" t="s">
        <v>110</v>
      </c>
      <c r="E8" s="705" t="s">
        <v>111</v>
      </c>
      <c r="F8" s="705" t="s">
        <v>74</v>
      </c>
      <c r="G8" s="366"/>
    </row>
    <row r="9" spans="2:7" s="703" customFormat="1" ht="19.5" customHeight="1">
      <c r="B9" s="365"/>
      <c r="C9" s="712"/>
      <c r="D9" s="713"/>
      <c r="E9" s="713"/>
      <c r="F9" s="713"/>
      <c r="G9" s="366"/>
    </row>
    <row r="10" spans="2:7" s="703" customFormat="1" ht="19.5" customHeight="1">
      <c r="B10" s="365"/>
      <c r="C10" s="710" t="s">
        <v>64</v>
      </c>
      <c r="D10" s="713"/>
      <c r="E10" s="713"/>
      <c r="F10" s="713"/>
      <c r="G10" s="366"/>
    </row>
    <row r="11" spans="2:7" s="703" customFormat="1" ht="19.5" customHeight="1">
      <c r="B11" s="365"/>
      <c r="C11" s="704" t="s">
        <v>537</v>
      </c>
      <c r="D11" s="705" t="s">
        <v>65</v>
      </c>
      <c r="E11" s="705" t="s">
        <v>66</v>
      </c>
      <c r="F11" s="705"/>
      <c r="G11" s="366"/>
    </row>
    <row r="12" spans="2:7" s="703" customFormat="1" ht="19.5" customHeight="1">
      <c r="B12" s="365"/>
      <c r="C12" s="704" t="s">
        <v>537</v>
      </c>
      <c r="D12" s="705" t="s">
        <v>67</v>
      </c>
      <c r="E12" s="705" t="s">
        <v>538</v>
      </c>
      <c r="F12" s="705"/>
      <c r="G12" s="366"/>
    </row>
    <row r="13" spans="2:7" s="703" customFormat="1" ht="19.5" customHeight="1">
      <c r="B13" s="365"/>
      <c r="C13" s="704" t="s">
        <v>68</v>
      </c>
      <c r="D13" s="706" t="s">
        <v>70</v>
      </c>
      <c r="E13" s="705" t="s">
        <v>69</v>
      </c>
      <c r="F13" s="705" t="s">
        <v>539</v>
      </c>
      <c r="G13" s="366"/>
    </row>
    <row r="14" spans="2:7" s="703" customFormat="1" ht="19.5" customHeight="1">
      <c r="B14" s="365"/>
      <c r="C14" s="704" t="s">
        <v>71</v>
      </c>
      <c r="D14" s="705" t="s">
        <v>72</v>
      </c>
      <c r="E14" s="705" t="s">
        <v>75</v>
      </c>
      <c r="F14" s="705" t="s">
        <v>540</v>
      </c>
      <c r="G14" s="366"/>
    </row>
    <row r="15" spans="2:7" s="703" customFormat="1" ht="19.5" customHeight="1">
      <c r="B15" s="365"/>
      <c r="C15" s="704" t="s">
        <v>76</v>
      </c>
      <c r="D15" s="705" t="s">
        <v>541</v>
      </c>
      <c r="E15" s="705" t="s">
        <v>77</v>
      </c>
      <c r="F15" s="705"/>
      <c r="G15" s="366"/>
    </row>
    <row r="16" spans="2:7" s="703" customFormat="1" ht="19.5" customHeight="1">
      <c r="B16" s="365"/>
      <c r="C16" s="704" t="s">
        <v>542</v>
      </c>
      <c r="D16" s="705" t="s">
        <v>78</v>
      </c>
      <c r="E16" s="705" t="s">
        <v>79</v>
      </c>
      <c r="F16" s="705" t="s">
        <v>112</v>
      </c>
      <c r="G16" s="366"/>
    </row>
    <row r="17" spans="2:7" s="703" customFormat="1" ht="19.5" customHeight="1">
      <c r="B17" s="365"/>
      <c r="C17" s="712"/>
      <c r="D17" s="713"/>
      <c r="E17" s="713"/>
      <c r="F17" s="713"/>
      <c r="G17" s="366"/>
    </row>
    <row r="18" spans="2:7" s="703" customFormat="1" ht="19.5" customHeight="1">
      <c r="B18" s="365"/>
      <c r="C18" s="710" t="s">
        <v>44</v>
      </c>
      <c r="D18" s="713"/>
      <c r="E18" s="713"/>
      <c r="F18" s="713"/>
      <c r="G18" s="366"/>
    </row>
    <row r="19" spans="2:7" s="703" customFormat="1" ht="19.5" customHeight="1">
      <c r="B19" s="365"/>
      <c r="C19" s="704" t="s">
        <v>80</v>
      </c>
      <c r="D19" s="705" t="s">
        <v>81</v>
      </c>
      <c r="E19" s="705" t="s">
        <v>113</v>
      </c>
      <c r="F19" s="705"/>
      <c r="G19" s="366"/>
    </row>
    <row r="20" spans="2:7" s="703" customFormat="1" ht="19.5" customHeight="1">
      <c r="B20" s="365"/>
      <c r="C20" s="704" t="s">
        <v>87</v>
      </c>
      <c r="D20" s="705" t="s">
        <v>88</v>
      </c>
      <c r="E20" s="705"/>
      <c r="F20" s="705"/>
      <c r="G20" s="366"/>
    </row>
    <row r="21" spans="2:7" s="703" customFormat="1" ht="19.5" customHeight="1">
      <c r="B21" s="365"/>
      <c r="C21" s="704" t="s">
        <v>82</v>
      </c>
      <c r="D21" s="705" t="s">
        <v>89</v>
      </c>
      <c r="E21" s="705" t="s">
        <v>90</v>
      </c>
      <c r="F21" s="705"/>
      <c r="G21" s="366"/>
    </row>
    <row r="22" spans="2:7" s="703" customFormat="1" ht="19.5" customHeight="1">
      <c r="B22" s="365"/>
      <c r="C22" s="704" t="s">
        <v>85</v>
      </c>
      <c r="D22" s="705" t="s">
        <v>114</v>
      </c>
      <c r="E22" s="705"/>
      <c r="F22" s="705"/>
      <c r="G22" s="366"/>
    </row>
    <row r="23" spans="2:7" s="703" customFormat="1" ht="19.5" customHeight="1">
      <c r="B23" s="365"/>
      <c r="C23" s="704" t="s">
        <v>86</v>
      </c>
      <c r="D23" s="705" t="s">
        <v>83</v>
      </c>
      <c r="E23" s="705" t="s">
        <v>84</v>
      </c>
      <c r="F23" s="705"/>
      <c r="G23" s="366"/>
    </row>
    <row r="24" spans="2:7" s="703" customFormat="1" ht="19.5" customHeight="1">
      <c r="B24" s="365"/>
      <c r="C24" s="704" t="s">
        <v>93</v>
      </c>
      <c r="D24" s="705" t="s">
        <v>115</v>
      </c>
      <c r="E24" s="705" t="s">
        <v>94</v>
      </c>
      <c r="F24" s="705" t="s">
        <v>95</v>
      </c>
      <c r="G24" s="366"/>
    </row>
    <row r="25" spans="2:7" s="703" customFormat="1" ht="19.5" customHeight="1">
      <c r="B25" s="365"/>
      <c r="C25" s="712"/>
      <c r="D25" s="713"/>
      <c r="E25" s="713"/>
      <c r="F25" s="713"/>
      <c r="G25" s="366"/>
    </row>
    <row r="26" spans="2:7" s="703" customFormat="1" ht="19.5" customHeight="1">
      <c r="B26" s="365"/>
      <c r="C26" s="710" t="s">
        <v>91</v>
      </c>
      <c r="D26" s="713"/>
      <c r="E26" s="713"/>
      <c r="F26" s="713"/>
      <c r="G26" s="366"/>
    </row>
    <row r="27" spans="2:7" s="703" customFormat="1" ht="19.5" customHeight="1">
      <c r="B27" s="365"/>
      <c r="C27" s="704" t="s">
        <v>102</v>
      </c>
      <c r="D27" s="705" t="s">
        <v>116</v>
      </c>
      <c r="E27" s="705"/>
      <c r="F27" s="705"/>
      <c r="G27" s="366"/>
    </row>
    <row r="28" spans="2:7" s="703" customFormat="1" ht="19.5" customHeight="1">
      <c r="B28" s="365"/>
      <c r="C28" s="704" t="s">
        <v>103</v>
      </c>
      <c r="D28" s="705" t="s">
        <v>117</v>
      </c>
      <c r="E28" s="705"/>
      <c r="F28" s="705"/>
      <c r="G28" s="366"/>
    </row>
    <row r="29" spans="2:7" s="703" customFormat="1" ht="19.5" customHeight="1">
      <c r="B29" s="365"/>
      <c r="C29" s="704" t="s">
        <v>104</v>
      </c>
      <c r="D29" s="705" t="s">
        <v>118</v>
      </c>
      <c r="E29" s="705"/>
      <c r="F29" s="705"/>
      <c r="G29" s="366"/>
    </row>
    <row r="30" spans="2:7" s="703" customFormat="1" ht="19.5" customHeight="1">
      <c r="B30" s="365"/>
      <c r="C30" s="704" t="s">
        <v>105</v>
      </c>
      <c r="D30" s="705" t="s">
        <v>119</v>
      </c>
      <c r="E30" s="705"/>
      <c r="F30" s="705"/>
      <c r="G30" s="366"/>
    </row>
    <row r="31" spans="2:7" s="703" customFormat="1" ht="19.5" customHeight="1">
      <c r="B31" s="365"/>
      <c r="C31" s="704" t="s">
        <v>101</v>
      </c>
      <c r="D31" s="705" t="s">
        <v>18</v>
      </c>
      <c r="E31" s="705"/>
      <c r="F31" s="705"/>
      <c r="G31" s="366"/>
    </row>
    <row r="32" spans="2:7" s="703" customFormat="1" ht="19.5" customHeight="1">
      <c r="B32" s="365"/>
      <c r="C32" s="704" t="s">
        <v>543</v>
      </c>
      <c r="D32" s="705" t="s">
        <v>19</v>
      </c>
      <c r="E32" s="705"/>
      <c r="F32" s="705"/>
      <c r="G32" s="366"/>
    </row>
    <row r="33" spans="2:7" s="703" customFormat="1" ht="19.5" customHeight="1">
      <c r="B33" s="365"/>
      <c r="C33" s="704" t="s">
        <v>98</v>
      </c>
      <c r="D33" s="705" t="s">
        <v>20</v>
      </c>
      <c r="E33" s="705" t="s">
        <v>100</v>
      </c>
      <c r="F33" s="705" t="s">
        <v>99</v>
      </c>
      <c r="G33" s="366"/>
    </row>
    <row r="34" spans="2:7" s="703" customFormat="1" ht="19.5" customHeight="1">
      <c r="B34" s="365"/>
      <c r="C34" s="704" t="s">
        <v>96</v>
      </c>
      <c r="D34" s="705" t="s">
        <v>97</v>
      </c>
      <c r="E34" s="705"/>
      <c r="F34" s="705"/>
      <c r="G34" s="366"/>
    </row>
    <row r="35" spans="2:7" s="703" customFormat="1" ht="19.5" customHeight="1">
      <c r="B35" s="365"/>
      <c r="C35" s="704" t="s">
        <v>544</v>
      </c>
      <c r="D35" s="705" t="s">
        <v>545</v>
      </c>
      <c r="E35" s="705"/>
      <c r="F35" s="705"/>
      <c r="G35" s="366"/>
    </row>
    <row r="36" spans="2:7" s="703" customFormat="1" ht="19.5" customHeight="1">
      <c r="B36" s="365"/>
      <c r="C36" s="704" t="s">
        <v>546</v>
      </c>
      <c r="D36" s="705" t="s">
        <v>547</v>
      </c>
      <c r="E36" s="705"/>
      <c r="F36" s="705"/>
      <c r="G36" s="366"/>
    </row>
    <row r="37" spans="2:7" s="703" customFormat="1" ht="19.5" customHeight="1">
      <c r="B37" s="365"/>
      <c r="C37" s="704" t="s">
        <v>17</v>
      </c>
      <c r="D37" s="705" t="s">
        <v>548</v>
      </c>
      <c r="E37" s="705"/>
      <c r="F37" s="705"/>
      <c r="G37" s="366"/>
    </row>
    <row r="38" spans="2:7" ht="19.5" customHeight="1" thickBot="1">
      <c r="B38" s="500"/>
      <c r="C38" s="518"/>
      <c r="D38" s="714"/>
      <c r="E38" s="714"/>
      <c r="F38" s="714"/>
      <c r="G38" s="561"/>
    </row>
    <row r="39" ht="15.75" thickTop="1"/>
    <row r="60" ht="17.25" customHeight="1"/>
    <row r="61" ht="17.25" customHeight="1"/>
    <row r="62" ht="17.25" customHeight="1"/>
    <row r="63" ht="17.25" customHeight="1"/>
    <row r="64" ht="17.25" customHeight="1"/>
  </sheetData>
  <sheetProtection password="CD08" sheet="1"/>
  <printOptions/>
  <pageMargins left="0.75" right="0.75" top="1" bottom="1" header="0.5" footer="0.5"/>
  <pageSetup fitToHeight="1" fitToWidth="1" horizontalDpi="600" verticalDpi="600" orientation="portrait" scale="53" r:id="rId1"/>
</worksheet>
</file>

<file path=xl/worksheets/sheet18.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90.140625" style="0" bestFit="1" customWidth="1"/>
    <col min="3" max="3" width="11.7109375" style="0" bestFit="1" customWidth="1"/>
    <col min="4" max="4" width="9.140625" style="0" bestFit="1" customWidth="1"/>
  </cols>
  <sheetData>
    <row r="1" spans="1:4" ht="12.75">
      <c r="A1" s="731" t="s">
        <v>562</v>
      </c>
      <c r="B1" s="732" t="s">
        <v>563</v>
      </c>
      <c r="C1" s="732" t="s">
        <v>564</v>
      </c>
      <c r="D1" s="733" t="s">
        <v>566</v>
      </c>
    </row>
    <row r="2" spans="1:3" s="7" customFormat="1" ht="12.75">
      <c r="A2" s="728">
        <v>4.1</v>
      </c>
      <c r="B2" s="2" t="s">
        <v>558</v>
      </c>
      <c r="C2" s="2" t="s">
        <v>565</v>
      </c>
    </row>
    <row r="3" spans="1:3" ht="12.75">
      <c r="A3" s="1"/>
      <c r="B3" t="s">
        <v>559</v>
      </c>
      <c r="C3" s="2" t="s">
        <v>565</v>
      </c>
    </row>
    <row r="4" spans="1:4" ht="12.75">
      <c r="A4" s="734" t="s">
        <v>567</v>
      </c>
      <c r="B4" s="735" t="s">
        <v>569</v>
      </c>
      <c r="C4" s="735" t="s">
        <v>568</v>
      </c>
      <c r="D4" s="736">
        <v>44698</v>
      </c>
    </row>
    <row r="5" spans="1:4" ht="12.75">
      <c r="A5" s="1"/>
      <c r="B5" s="2" t="s">
        <v>570</v>
      </c>
      <c r="C5" s="2" t="s">
        <v>568</v>
      </c>
      <c r="D5" s="727">
        <v>44698</v>
      </c>
    </row>
    <row r="6" spans="2:4" ht="12.75">
      <c r="B6" s="2" t="s">
        <v>571</v>
      </c>
      <c r="C6" s="2" t="s">
        <v>568</v>
      </c>
      <c r="D6" s="727">
        <v>44728</v>
      </c>
    </row>
    <row r="11" ht="12.75">
      <c r="A11" s="1"/>
    </row>
    <row r="12" spans="1:14" ht="12.75">
      <c r="A12" s="4"/>
      <c r="B12" s="3"/>
      <c r="C12" s="3"/>
      <c r="D12" s="3"/>
      <c r="E12" s="3"/>
      <c r="F12" s="3"/>
      <c r="G12" s="3"/>
      <c r="H12" s="3"/>
      <c r="I12" s="3"/>
      <c r="J12" s="3"/>
      <c r="K12" s="3"/>
      <c r="L12" s="3"/>
      <c r="M12" s="3"/>
      <c r="N12" s="3"/>
    </row>
    <row r="14" ht="12.75">
      <c r="A14" s="1"/>
    </row>
    <row r="21" spans="1:13" ht="12.75">
      <c r="A21" s="3"/>
      <c r="B21" s="3"/>
      <c r="C21" s="3"/>
      <c r="D21" s="3"/>
      <c r="E21" s="3"/>
      <c r="F21" s="3"/>
      <c r="G21" s="3"/>
      <c r="H21" s="3"/>
      <c r="I21" s="3"/>
      <c r="J21" s="3"/>
      <c r="K21" s="3"/>
      <c r="L21" s="3"/>
      <c r="M21" s="3"/>
    </row>
    <row r="23" ht="12.75">
      <c r="A23" s="1"/>
    </row>
    <row r="24" spans="1:15" ht="12.75">
      <c r="A24" s="3"/>
      <c r="B24" s="3"/>
      <c r="C24" s="3"/>
      <c r="D24" s="3"/>
      <c r="E24" s="3"/>
      <c r="F24" s="3"/>
      <c r="G24" s="3"/>
      <c r="H24" s="3"/>
      <c r="I24" s="3"/>
      <c r="J24" s="3"/>
      <c r="K24" s="3"/>
      <c r="L24" s="3"/>
      <c r="M24" s="3"/>
      <c r="N24" s="3"/>
      <c r="O24" s="3"/>
    </row>
    <row r="25" spans="1:15" ht="12.75">
      <c r="A25" s="4"/>
      <c r="B25" s="3"/>
      <c r="C25" s="3"/>
      <c r="D25" s="3"/>
      <c r="E25" s="3"/>
      <c r="F25" s="3"/>
      <c r="G25" s="3"/>
      <c r="H25" s="3"/>
      <c r="I25" s="3"/>
      <c r="J25" s="3"/>
      <c r="K25" s="3"/>
      <c r="L25" s="3"/>
      <c r="M25" s="3"/>
      <c r="N25" s="3"/>
      <c r="O25" s="3"/>
    </row>
    <row r="28" spans="1:14" ht="12.75">
      <c r="A28" s="3"/>
      <c r="B28" s="3"/>
      <c r="C28" s="3"/>
      <c r="D28" s="3"/>
      <c r="E28" s="3"/>
      <c r="F28" s="3"/>
      <c r="G28" s="3"/>
      <c r="H28" s="3"/>
      <c r="I28" s="3"/>
      <c r="J28" s="3"/>
      <c r="K28" s="3"/>
      <c r="L28" s="3"/>
      <c r="M28" s="3"/>
      <c r="N28" s="3"/>
    </row>
    <row r="36" ht="12.75">
      <c r="A36" s="1"/>
    </row>
    <row r="38" spans="1:14" ht="12.75">
      <c r="A38" s="4"/>
      <c r="B38" s="3"/>
      <c r="C38" s="3"/>
      <c r="D38" s="3"/>
      <c r="E38" s="3"/>
      <c r="F38" s="3"/>
      <c r="G38" s="3"/>
      <c r="H38" s="3"/>
      <c r="I38" s="3"/>
      <c r="J38" s="3"/>
      <c r="K38" s="3"/>
      <c r="L38" s="3"/>
      <c r="M38" s="3"/>
      <c r="N38" s="3"/>
    </row>
    <row r="39" spans="1:14" ht="12.75">
      <c r="A39" s="4"/>
      <c r="B39" s="3"/>
      <c r="C39" s="3"/>
      <c r="D39" s="3"/>
      <c r="E39" s="3"/>
      <c r="F39" s="3"/>
      <c r="G39" s="3"/>
      <c r="H39" s="3"/>
      <c r="I39" s="3"/>
      <c r="J39" s="3"/>
      <c r="K39" s="3"/>
      <c r="L39" s="3"/>
      <c r="M39" s="3"/>
      <c r="N39" s="3"/>
    </row>
    <row r="40" spans="1:14" ht="12.75">
      <c r="A40" s="4"/>
      <c r="B40" s="3"/>
      <c r="C40" s="3"/>
      <c r="D40" s="3"/>
      <c r="E40" s="3"/>
      <c r="F40" s="3"/>
      <c r="G40" s="3"/>
      <c r="H40" s="3"/>
      <c r="I40" s="3"/>
      <c r="J40" s="3"/>
      <c r="K40" s="3"/>
      <c r="L40" s="3"/>
      <c r="M40" s="3"/>
      <c r="N40" s="3"/>
    </row>
    <row r="41" spans="1:14" ht="12.75">
      <c r="A41" s="4"/>
      <c r="B41" s="3"/>
      <c r="C41" s="3"/>
      <c r="D41" s="3"/>
      <c r="E41" s="3"/>
      <c r="F41" s="3"/>
      <c r="G41" s="3"/>
      <c r="H41" s="3"/>
      <c r="I41" s="3"/>
      <c r="J41" s="3"/>
      <c r="K41" s="3"/>
      <c r="L41" s="3"/>
      <c r="M41" s="3"/>
      <c r="N41" s="3"/>
    </row>
    <row r="42" spans="1:14" ht="12.75">
      <c r="A42" s="8"/>
      <c r="B42" s="9"/>
      <c r="C42" s="9"/>
      <c r="D42" s="3"/>
      <c r="E42" s="3"/>
      <c r="F42" s="3"/>
      <c r="G42" s="3"/>
      <c r="H42" s="3"/>
      <c r="I42" s="3"/>
      <c r="J42" s="3"/>
      <c r="K42" s="3"/>
      <c r="L42" s="3"/>
      <c r="M42" s="3"/>
      <c r="N42" s="3"/>
    </row>
    <row r="43" spans="1:14" ht="12.75">
      <c r="A43" s="5"/>
      <c r="B43" s="3"/>
      <c r="C43" s="3"/>
      <c r="D43" s="3"/>
      <c r="E43" s="3"/>
      <c r="F43" s="3"/>
      <c r="G43" s="3"/>
      <c r="H43" s="3"/>
      <c r="I43" s="3"/>
      <c r="J43" s="3"/>
      <c r="K43" s="3"/>
      <c r="L43" s="3"/>
      <c r="M43" s="3"/>
      <c r="N43" s="3"/>
    </row>
    <row r="44" spans="1:14" ht="12.75">
      <c r="A44" s="5"/>
      <c r="B44" s="3"/>
      <c r="C44" s="3"/>
      <c r="D44" s="3"/>
      <c r="E44" s="3"/>
      <c r="F44" s="3"/>
      <c r="G44" s="3"/>
      <c r="H44" s="3"/>
      <c r="I44" s="3"/>
      <c r="J44" s="3"/>
      <c r="K44" s="3"/>
      <c r="L44" s="3"/>
      <c r="M44" s="3"/>
      <c r="N44" s="3"/>
    </row>
    <row r="46" ht="12.75">
      <c r="A46" s="1"/>
    </row>
    <row r="49" ht="12.75">
      <c r="A49" s="1"/>
    </row>
    <row r="52" ht="12.75">
      <c r="A52" s="1"/>
    </row>
    <row r="54" ht="12.75">
      <c r="A54" s="1"/>
    </row>
    <row r="55" ht="12.75">
      <c r="A55" s="1"/>
    </row>
    <row r="56" ht="12.75">
      <c r="A56" s="2"/>
    </row>
    <row r="57" spans="1:14" ht="12.75">
      <c r="A57" s="10"/>
      <c r="B57" s="3"/>
      <c r="C57" s="3"/>
      <c r="D57" s="3"/>
      <c r="E57" s="3"/>
      <c r="F57" s="3"/>
      <c r="G57" s="3"/>
      <c r="H57" s="3"/>
      <c r="I57" s="3"/>
      <c r="J57" s="3"/>
      <c r="K57" s="3"/>
      <c r="L57" s="3"/>
      <c r="M57" s="3"/>
      <c r="N57" s="3"/>
    </row>
    <row r="58" ht="12.75">
      <c r="A58" s="2"/>
    </row>
    <row r="59" ht="12.75">
      <c r="A59" s="2"/>
    </row>
    <row r="60" spans="1:14" ht="12.75">
      <c r="A60" s="11"/>
      <c r="B60" s="3"/>
      <c r="C60" s="3"/>
      <c r="D60" s="3"/>
      <c r="E60" s="3"/>
      <c r="F60" s="3"/>
      <c r="G60" s="3"/>
      <c r="H60" s="3"/>
      <c r="I60" s="3"/>
      <c r="J60" s="3"/>
      <c r="K60" s="3"/>
      <c r="L60" s="3"/>
      <c r="M60" s="3"/>
      <c r="N60" s="3"/>
    </row>
    <row r="61" ht="12.75">
      <c r="A61" s="2"/>
    </row>
    <row r="62" ht="12.75">
      <c r="A62" s="1"/>
    </row>
    <row r="68" ht="12.75">
      <c r="A68" s="1"/>
    </row>
    <row r="72" ht="12.75">
      <c r="A72" s="1"/>
    </row>
    <row r="73" spans="1:14" ht="12.75">
      <c r="A73" s="3"/>
      <c r="B73" s="3"/>
      <c r="C73" s="3"/>
      <c r="D73" s="3"/>
      <c r="E73" s="3"/>
      <c r="F73" s="3"/>
      <c r="G73" s="3"/>
      <c r="H73" s="3"/>
      <c r="I73" s="3"/>
      <c r="J73" s="3"/>
      <c r="K73" s="3"/>
      <c r="L73" s="3"/>
      <c r="M73" s="3"/>
      <c r="N73" s="3"/>
    </row>
    <row r="74" spans="1:14" ht="12.75">
      <c r="A74" s="3"/>
      <c r="B74" s="3"/>
      <c r="C74" s="3"/>
      <c r="D74" s="3"/>
      <c r="E74" s="3"/>
      <c r="F74" s="3"/>
      <c r="G74" s="3"/>
      <c r="H74" s="3"/>
      <c r="I74" s="3"/>
      <c r="J74" s="3"/>
      <c r="K74" s="3"/>
      <c r="L74" s="3"/>
      <c r="M74" s="3"/>
      <c r="N74" s="3"/>
    </row>
    <row r="75" spans="1:14" ht="12.75">
      <c r="A75" s="3"/>
      <c r="B75" s="3"/>
      <c r="C75" s="3"/>
      <c r="D75" s="3"/>
      <c r="E75" s="3"/>
      <c r="F75" s="3"/>
      <c r="G75" s="3"/>
      <c r="H75" s="3"/>
      <c r="I75" s="3"/>
      <c r="J75" s="3"/>
      <c r="K75" s="3"/>
      <c r="L75" s="3"/>
      <c r="M75" s="3"/>
      <c r="N75" s="3"/>
    </row>
    <row r="76" spans="1:14" ht="12.75">
      <c r="A76" s="3"/>
      <c r="B76" s="3"/>
      <c r="C76" s="3"/>
      <c r="D76" s="3"/>
      <c r="E76" s="3"/>
      <c r="F76" s="3"/>
      <c r="G76" s="3"/>
      <c r="H76" s="3"/>
      <c r="I76" s="3"/>
      <c r="J76" s="3"/>
      <c r="K76" s="3"/>
      <c r="L76" s="3"/>
      <c r="M76" s="3"/>
      <c r="N76" s="3"/>
    </row>
    <row r="78" ht="12.75">
      <c r="A78" s="1"/>
    </row>
    <row r="83" s="7" customFormat="1" ht="12.75">
      <c r="A83" s="6"/>
    </row>
    <row r="85" ht="12.75">
      <c r="A85" s="1"/>
    </row>
    <row r="89" ht="12.75">
      <c r="A89" s="1"/>
    </row>
    <row r="99" ht="12.75">
      <c r="A99" s="1"/>
    </row>
    <row r="106" spans="1:3" ht="12.75">
      <c r="A106" s="8"/>
      <c r="B106" s="9"/>
      <c r="C106" s="9"/>
    </row>
    <row r="109" ht="12.75">
      <c r="A109" s="1"/>
    </row>
    <row r="112" ht="12.75">
      <c r="A112" s="1"/>
    </row>
    <row r="115" ht="12.75">
      <c r="A115" s="1"/>
    </row>
  </sheetData>
  <sheetProtection password="CD08" sheet="1"/>
  <printOptions/>
  <pageMargins left="0.75" right="0.75" top="1" bottom="1" header="0.5" footer="0.5"/>
  <pageSetup fitToHeight="3"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B1:F26"/>
  <sheetViews>
    <sheetView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2" width="3.57421875" style="25" customWidth="1"/>
    <col min="3" max="3" width="34.28125" style="25" customWidth="1"/>
    <col min="4" max="4" width="106.140625" style="63" bestFit="1" customWidth="1"/>
    <col min="5" max="5" width="3.57421875" style="25" customWidth="1"/>
    <col min="6" max="7" width="5.140625" style="25" customWidth="1"/>
    <col min="8" max="16384" width="11.421875" style="25" customWidth="1"/>
  </cols>
  <sheetData>
    <row r="1" ht="21">
      <c r="B1" s="301" t="s">
        <v>440</v>
      </c>
    </row>
    <row r="2" spans="3:5" s="57" customFormat="1" ht="23.25" customHeight="1" thickBot="1">
      <c r="C2" s="46"/>
      <c r="D2" s="46"/>
      <c r="E2" s="47"/>
    </row>
    <row r="3" spans="2:5" ht="32.25" customHeight="1" thickTop="1">
      <c r="B3" s="58"/>
      <c r="C3" s="48" t="s">
        <v>123</v>
      </c>
      <c r="D3" s="49" t="s">
        <v>124</v>
      </c>
      <c r="E3" s="60"/>
    </row>
    <row r="4" spans="2:5" ht="18" customHeight="1">
      <c r="B4" s="40"/>
      <c r="C4" s="23" t="s">
        <v>215</v>
      </c>
      <c r="D4" s="50"/>
      <c r="E4" s="42"/>
    </row>
    <row r="5" spans="2:5" ht="18" customHeight="1">
      <c r="B5" s="40"/>
      <c r="C5" s="23" t="s">
        <v>216</v>
      </c>
      <c r="D5" s="50"/>
      <c r="E5" s="42"/>
    </row>
    <row r="6" spans="2:5" ht="18" customHeight="1">
      <c r="B6" s="40"/>
      <c r="C6" s="23" t="s">
        <v>218</v>
      </c>
      <c r="D6" s="50" t="s">
        <v>389</v>
      </c>
      <c r="E6" s="42"/>
    </row>
    <row r="7" spans="2:5" ht="18" customHeight="1">
      <c r="B7" s="40"/>
      <c r="C7" s="23" t="s">
        <v>241</v>
      </c>
      <c r="D7" s="50" t="s">
        <v>390</v>
      </c>
      <c r="E7" s="42"/>
    </row>
    <row r="8" spans="2:6" ht="33" customHeight="1">
      <c r="B8" s="40"/>
      <c r="C8" s="23" t="s">
        <v>290</v>
      </c>
      <c r="D8" s="743" t="s">
        <v>391</v>
      </c>
      <c r="E8" s="759"/>
      <c r="F8" s="51"/>
    </row>
    <row r="9" spans="2:6" ht="18">
      <c r="B9" s="40"/>
      <c r="C9" s="23" t="s">
        <v>323</v>
      </c>
      <c r="D9" s="52" t="s">
        <v>381</v>
      </c>
      <c r="E9" s="53"/>
      <c r="F9" s="51"/>
    </row>
    <row r="10" spans="2:6" ht="18">
      <c r="B10" s="40"/>
      <c r="C10" s="23" t="s">
        <v>348</v>
      </c>
      <c r="D10" s="52" t="s">
        <v>382</v>
      </c>
      <c r="E10" s="53"/>
      <c r="F10" s="51"/>
    </row>
    <row r="11" spans="2:6" ht="18" customHeight="1">
      <c r="B11" s="40"/>
      <c r="C11" s="23" t="s">
        <v>327</v>
      </c>
      <c r="D11" s="52" t="s">
        <v>383</v>
      </c>
      <c r="E11" s="54"/>
      <c r="F11" s="51"/>
    </row>
    <row r="12" spans="2:6" ht="18" customHeight="1">
      <c r="B12" s="40"/>
      <c r="C12" s="23" t="s">
        <v>10</v>
      </c>
      <c r="D12" s="52" t="s">
        <v>384</v>
      </c>
      <c r="E12" s="54"/>
      <c r="F12" s="51"/>
    </row>
    <row r="13" spans="2:6" ht="18" customHeight="1">
      <c r="B13" s="40"/>
      <c r="C13" s="23" t="s">
        <v>325</v>
      </c>
      <c r="D13" s="52" t="s">
        <v>385</v>
      </c>
      <c r="E13" s="54"/>
      <c r="F13" s="51"/>
    </row>
    <row r="14" spans="2:6" ht="18" customHeight="1">
      <c r="B14" s="40"/>
      <c r="C14" s="23" t="s">
        <v>326</v>
      </c>
      <c r="D14" s="52" t="s">
        <v>386</v>
      </c>
      <c r="E14" s="54"/>
      <c r="F14" s="51"/>
    </row>
    <row r="15" spans="2:6" ht="18" customHeight="1">
      <c r="B15" s="40"/>
      <c r="C15" s="23" t="s">
        <v>328</v>
      </c>
      <c r="D15" s="52" t="s">
        <v>387</v>
      </c>
      <c r="E15" s="54"/>
      <c r="F15" s="51"/>
    </row>
    <row r="16" spans="2:6" ht="18" customHeight="1">
      <c r="B16" s="40"/>
      <c r="C16" s="23" t="s">
        <v>377</v>
      </c>
      <c r="D16" s="52" t="s">
        <v>388</v>
      </c>
      <c r="E16" s="54"/>
      <c r="F16" s="51"/>
    </row>
    <row r="17" spans="2:6" ht="18" customHeight="1">
      <c r="B17" s="40"/>
      <c r="C17" s="23" t="s">
        <v>229</v>
      </c>
      <c r="D17" s="52" t="s">
        <v>392</v>
      </c>
      <c r="E17" s="54"/>
      <c r="F17" s="51"/>
    </row>
    <row r="18" spans="2:6" ht="18" customHeight="1">
      <c r="B18" s="40"/>
      <c r="C18" s="23" t="s">
        <v>228</v>
      </c>
      <c r="D18" s="760" t="s">
        <v>330</v>
      </c>
      <c r="E18" s="761"/>
      <c r="F18" s="51"/>
    </row>
    <row r="19" spans="2:6" ht="18" customHeight="1">
      <c r="B19" s="40"/>
      <c r="C19" s="23" t="s">
        <v>329</v>
      </c>
      <c r="D19" s="760" t="s">
        <v>393</v>
      </c>
      <c r="E19" s="761"/>
      <c r="F19" s="51"/>
    </row>
    <row r="20" spans="2:6" ht="18" customHeight="1">
      <c r="B20" s="40"/>
      <c r="C20" s="23" t="s">
        <v>45</v>
      </c>
      <c r="D20" s="52" t="s">
        <v>394</v>
      </c>
      <c r="E20" s="54"/>
      <c r="F20" s="51"/>
    </row>
    <row r="21" spans="2:6" ht="18" customHeight="1">
      <c r="B21" s="40"/>
      <c r="C21" s="23" t="s">
        <v>8</v>
      </c>
      <c r="D21" s="52" t="s">
        <v>395</v>
      </c>
      <c r="E21" s="54"/>
      <c r="F21" s="51"/>
    </row>
    <row r="22" spans="2:6" ht="18" customHeight="1" thickBot="1">
      <c r="B22" s="61"/>
      <c r="C22" s="62"/>
      <c r="D22" s="55"/>
      <c r="E22" s="56"/>
      <c r="F22" s="51"/>
    </row>
    <row r="23" spans="4:6" ht="18" customHeight="1" thickTop="1">
      <c r="D23" s="762"/>
      <c r="E23" s="762"/>
      <c r="F23" s="762"/>
    </row>
    <row r="24" spans="4:6" ht="18" customHeight="1">
      <c r="D24" s="762"/>
      <c r="E24" s="762"/>
      <c r="F24" s="762"/>
    </row>
    <row r="25" spans="4:6" ht="18" customHeight="1">
      <c r="D25" s="762"/>
      <c r="E25" s="762"/>
      <c r="F25" s="762"/>
    </row>
    <row r="26" spans="4:6" ht="18" customHeight="1">
      <c r="D26" s="762"/>
      <c r="E26" s="762"/>
      <c r="F26" s="762"/>
    </row>
    <row r="27" ht="18" customHeight="1"/>
    <row r="28" ht="15" customHeight="1"/>
  </sheetData>
  <sheetProtection password="CD08" sheet="1"/>
  <mergeCells count="7">
    <mergeCell ref="D8:E8"/>
    <mergeCell ref="D19:E19"/>
    <mergeCell ref="D18:E18"/>
    <mergeCell ref="D26:F26"/>
    <mergeCell ref="D23:F23"/>
    <mergeCell ref="D24:F24"/>
    <mergeCell ref="D25:F25"/>
  </mergeCells>
  <printOptions/>
  <pageMargins left="0.75" right="0.75" top="1" bottom="1" header="0.4921259845" footer="0.4921259845"/>
  <pageSetup fitToHeight="1" fitToWidth="1" horizontalDpi="300" verticalDpi="3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1">
      <selection activeCell="A1" sqref="A1"/>
    </sheetView>
  </sheetViews>
  <sheetFormatPr defaultColWidth="9.00390625" defaultRowHeight="12.75"/>
  <cols>
    <col min="1" max="2" width="3.57421875" style="64" customWidth="1"/>
    <col min="3" max="3" width="67.28125" style="64" customWidth="1"/>
    <col min="4" max="4" width="21.421875" style="73" customWidth="1"/>
    <col min="5" max="5" width="3.57421875" style="64" customWidth="1"/>
    <col min="6" max="16384" width="9.00390625" style="64" customWidth="1"/>
  </cols>
  <sheetData>
    <row r="1" spans="2:4" s="302" customFormat="1" ht="21">
      <c r="B1" s="302" t="s">
        <v>441</v>
      </c>
      <c r="D1" s="303"/>
    </row>
    <row r="2" spans="2:5" ht="18">
      <c r="B2" s="370" t="s">
        <v>458</v>
      </c>
      <c r="D2" s="299"/>
      <c r="E2" s="299"/>
    </row>
    <row r="3" spans="3:5" ht="18">
      <c r="C3" s="300"/>
      <c r="D3" s="299"/>
      <c r="E3" s="299"/>
    </row>
    <row r="4" spans="2:5" ht="17.25" customHeight="1">
      <c r="B4" s="74"/>
      <c r="C4" s="76" t="s">
        <v>294</v>
      </c>
      <c r="D4" s="77"/>
      <c r="E4" s="75"/>
    </row>
    <row r="5" spans="2:4" ht="18" thickBot="1">
      <c r="B5" s="65"/>
      <c r="C5" s="66"/>
      <c r="D5" s="66"/>
    </row>
    <row r="6" spans="2:5" ht="17.25" customHeight="1" thickTop="1">
      <c r="B6" s="304"/>
      <c r="C6" s="305"/>
      <c r="D6" s="306"/>
      <c r="E6" s="307"/>
    </row>
    <row r="7" spans="2:5" ht="14.25" customHeight="1">
      <c r="B7" s="68"/>
      <c r="C7" s="78" t="s">
        <v>33</v>
      </c>
      <c r="D7" s="79"/>
      <c r="E7" s="67"/>
    </row>
    <row r="8" spans="2:5" ht="18" customHeight="1">
      <c r="B8" s="68"/>
      <c r="C8" s="764"/>
      <c r="D8" s="765"/>
      <c r="E8" s="69"/>
    </row>
    <row r="9" spans="2:5" ht="25.5" customHeight="1">
      <c r="B9" s="68"/>
      <c r="C9" s="766" t="s">
        <v>211</v>
      </c>
      <c r="D9" s="767"/>
      <c r="E9" s="67"/>
    </row>
    <row r="10" spans="2:5" ht="78" customHeight="1">
      <c r="B10" s="68"/>
      <c r="C10" s="764"/>
      <c r="D10" s="765"/>
      <c r="E10" s="69"/>
    </row>
    <row r="11" spans="2:5" ht="15.75" customHeight="1">
      <c r="B11" s="68"/>
      <c r="C11" s="80"/>
      <c r="D11" s="81"/>
      <c r="E11" s="67"/>
    </row>
    <row r="12" spans="2:5" ht="34.5" customHeight="1">
      <c r="B12" s="68"/>
      <c r="C12" s="768" t="s">
        <v>213</v>
      </c>
      <c r="D12" s="768"/>
      <c r="E12" s="67"/>
    </row>
    <row r="13" spans="2:5" ht="84" customHeight="1">
      <c r="B13" s="68"/>
      <c r="C13" s="764"/>
      <c r="D13" s="765"/>
      <c r="E13" s="67"/>
    </row>
    <row r="14" spans="2:5" ht="15.75" customHeight="1">
      <c r="B14" s="68"/>
      <c r="C14" s="80"/>
      <c r="D14" s="81"/>
      <c r="E14" s="67"/>
    </row>
    <row r="15" spans="2:5" ht="33" customHeight="1">
      <c r="B15" s="68"/>
      <c r="C15" s="768" t="s">
        <v>26</v>
      </c>
      <c r="D15" s="768"/>
      <c r="E15" s="67"/>
    </row>
    <row r="16" spans="2:5" ht="84" customHeight="1">
      <c r="B16" s="68"/>
      <c r="C16" s="764"/>
      <c r="D16" s="765"/>
      <c r="E16" s="67"/>
    </row>
    <row r="17" spans="2:5" ht="18" customHeight="1">
      <c r="B17" s="68"/>
      <c r="C17" s="79"/>
      <c r="D17" s="79"/>
      <c r="E17" s="67"/>
    </row>
    <row r="18" spans="2:5" ht="35.25" customHeight="1" thickBot="1">
      <c r="B18" s="68"/>
      <c r="C18" s="763" t="s">
        <v>195</v>
      </c>
      <c r="D18" s="763"/>
      <c r="E18" s="67"/>
    </row>
    <row r="19" spans="2:5" ht="82.5" customHeight="1" thickBot="1" thickTop="1">
      <c r="B19" s="68"/>
      <c r="C19" s="82" t="s">
        <v>169</v>
      </c>
      <c r="D19" s="83" t="s">
        <v>9</v>
      </c>
      <c r="E19" s="67"/>
    </row>
    <row r="20" spans="2:5" ht="15.75" thickTop="1">
      <c r="B20" s="68"/>
      <c r="C20" s="84" t="s">
        <v>136</v>
      </c>
      <c r="D20" s="85"/>
      <c r="E20" s="67"/>
    </row>
    <row r="21" spans="2:5" ht="30.75">
      <c r="B21" s="68"/>
      <c r="C21" s="86" t="s">
        <v>137</v>
      </c>
      <c r="D21" s="85"/>
      <c r="E21" s="67"/>
    </row>
    <row r="22" spans="2:5" ht="15">
      <c r="B22" s="68"/>
      <c r="C22" s="86" t="s">
        <v>138</v>
      </c>
      <c r="D22" s="85"/>
      <c r="E22" s="67"/>
    </row>
    <row r="23" spans="2:5" ht="15">
      <c r="B23" s="68"/>
      <c r="C23" s="86" t="s">
        <v>139</v>
      </c>
      <c r="D23" s="85"/>
      <c r="E23" s="67"/>
    </row>
    <row r="24" spans="2:5" ht="15">
      <c r="B24" s="68"/>
      <c r="C24" s="86" t="s">
        <v>140</v>
      </c>
      <c r="D24" s="85"/>
      <c r="E24" s="67"/>
    </row>
    <row r="25" spans="2:5" ht="15">
      <c r="B25" s="68"/>
      <c r="C25" s="86" t="s">
        <v>141</v>
      </c>
      <c r="D25" s="85"/>
      <c r="E25" s="67"/>
    </row>
    <row r="26" spans="2:5" ht="15">
      <c r="B26" s="68"/>
      <c r="C26" s="86" t="s">
        <v>142</v>
      </c>
      <c r="D26" s="85"/>
      <c r="E26" s="67"/>
    </row>
    <row r="27" spans="2:5" ht="15">
      <c r="B27" s="68"/>
      <c r="C27" s="86" t="s">
        <v>143</v>
      </c>
      <c r="D27" s="85"/>
      <c r="E27" s="67"/>
    </row>
    <row r="28" spans="2:5" ht="15">
      <c r="B28" s="68"/>
      <c r="C28" s="86" t="s">
        <v>144</v>
      </c>
      <c r="D28" s="85"/>
      <c r="E28" s="67"/>
    </row>
    <row r="29" spans="2:5" ht="15">
      <c r="B29" s="68"/>
      <c r="C29" s="86" t="s">
        <v>145</v>
      </c>
      <c r="D29" s="85"/>
      <c r="E29" s="67"/>
    </row>
    <row r="30" spans="2:5" ht="15">
      <c r="B30" s="68"/>
      <c r="C30" s="86" t="s">
        <v>146</v>
      </c>
      <c r="D30" s="85"/>
      <c r="E30" s="67"/>
    </row>
    <row r="31" spans="2:5" ht="15">
      <c r="B31" s="68"/>
      <c r="C31" s="86" t="s">
        <v>147</v>
      </c>
      <c r="D31" s="85"/>
      <c r="E31" s="67"/>
    </row>
    <row r="32" spans="2:5" ht="15">
      <c r="B32" s="68"/>
      <c r="C32" s="86" t="s">
        <v>148</v>
      </c>
      <c r="D32" s="85"/>
      <c r="E32" s="67"/>
    </row>
    <row r="33" spans="2:5" ht="15">
      <c r="B33" s="68"/>
      <c r="C33" s="86" t="s">
        <v>149</v>
      </c>
      <c r="D33" s="85"/>
      <c r="E33" s="67"/>
    </row>
    <row r="34" spans="2:5" ht="15">
      <c r="B34" s="68"/>
      <c r="C34" s="86" t="s">
        <v>150</v>
      </c>
      <c r="D34" s="85"/>
      <c r="E34" s="67"/>
    </row>
    <row r="35" spans="2:5" ht="15">
      <c r="B35" s="68"/>
      <c r="C35" s="86" t="s">
        <v>151</v>
      </c>
      <c r="D35" s="85"/>
      <c r="E35" s="67"/>
    </row>
    <row r="36" spans="2:5" ht="15">
      <c r="B36" s="68"/>
      <c r="C36" s="86" t="s">
        <v>152</v>
      </c>
      <c r="D36" s="85"/>
      <c r="E36" s="67"/>
    </row>
    <row r="37" spans="2:5" ht="15">
      <c r="B37" s="68"/>
      <c r="C37" s="86" t="s">
        <v>153</v>
      </c>
      <c r="D37" s="85"/>
      <c r="E37" s="67"/>
    </row>
    <row r="38" spans="2:5" ht="15">
      <c r="B38" s="68"/>
      <c r="C38" s="86" t="s">
        <v>154</v>
      </c>
      <c r="D38" s="85"/>
      <c r="E38" s="67"/>
    </row>
    <row r="39" spans="2:5" ht="30.75">
      <c r="B39" s="68"/>
      <c r="C39" s="86" t="s">
        <v>155</v>
      </c>
      <c r="D39" s="85"/>
      <c r="E39" s="67"/>
    </row>
    <row r="40" spans="2:5" ht="15">
      <c r="B40" s="68"/>
      <c r="C40" s="86" t="s">
        <v>156</v>
      </c>
      <c r="D40" s="85"/>
      <c r="E40" s="67"/>
    </row>
    <row r="41" spans="2:5" ht="15">
      <c r="B41" s="68"/>
      <c r="C41" s="86" t="s">
        <v>157</v>
      </c>
      <c r="D41" s="85"/>
      <c r="E41" s="67"/>
    </row>
    <row r="42" spans="2:5" ht="15">
      <c r="B42" s="68"/>
      <c r="C42" s="86" t="s">
        <v>158</v>
      </c>
      <c r="D42" s="85"/>
      <c r="E42" s="67"/>
    </row>
    <row r="43" spans="2:5" ht="15">
      <c r="B43" s="68"/>
      <c r="C43" s="86" t="s">
        <v>159</v>
      </c>
      <c r="D43" s="85"/>
      <c r="E43" s="67"/>
    </row>
    <row r="44" spans="2:5" ht="15">
      <c r="B44" s="68"/>
      <c r="C44" s="86" t="s">
        <v>160</v>
      </c>
      <c r="D44" s="85"/>
      <c r="E44" s="67"/>
    </row>
    <row r="45" spans="2:5" ht="15">
      <c r="B45" s="68"/>
      <c r="C45" s="86" t="s">
        <v>161</v>
      </c>
      <c r="D45" s="85"/>
      <c r="E45" s="67"/>
    </row>
    <row r="46" spans="2:5" ht="15">
      <c r="B46" s="68"/>
      <c r="C46" s="86" t="s">
        <v>162</v>
      </c>
      <c r="D46" s="85"/>
      <c r="E46" s="67"/>
    </row>
    <row r="47" spans="2:5" ht="15">
      <c r="B47" s="68"/>
      <c r="C47" s="86" t="s">
        <v>163</v>
      </c>
      <c r="D47" s="85"/>
      <c r="E47" s="67"/>
    </row>
    <row r="48" spans="2:5" ht="15">
      <c r="B48" s="68"/>
      <c r="C48" s="86" t="s">
        <v>164</v>
      </c>
      <c r="D48" s="85"/>
      <c r="E48" s="67"/>
    </row>
    <row r="49" spans="2:5" ht="15">
      <c r="B49" s="68"/>
      <c r="C49" s="86" t="s">
        <v>165</v>
      </c>
      <c r="D49" s="85"/>
      <c r="E49" s="67"/>
    </row>
    <row r="50" spans="2:5" ht="15">
      <c r="B50" s="68"/>
      <c r="C50" s="86" t="s">
        <v>166</v>
      </c>
      <c r="D50" s="85"/>
      <c r="E50" s="67"/>
    </row>
    <row r="51" spans="2:5" ht="15">
      <c r="B51" s="68"/>
      <c r="C51" s="86" t="s">
        <v>167</v>
      </c>
      <c r="D51" s="85"/>
      <c r="E51" s="67"/>
    </row>
    <row r="52" spans="2:5" ht="15">
      <c r="B52" s="68"/>
      <c r="C52" s="87" t="s">
        <v>168</v>
      </c>
      <c r="D52" s="85"/>
      <c r="E52" s="67"/>
    </row>
    <row r="53" spans="2:5" ht="15">
      <c r="B53" s="68"/>
      <c r="C53" s="87" t="s">
        <v>168</v>
      </c>
      <c r="D53" s="85"/>
      <c r="E53" s="67"/>
    </row>
    <row r="54" spans="2:5" ht="15">
      <c r="B54" s="68"/>
      <c r="C54" s="87" t="s">
        <v>168</v>
      </c>
      <c r="D54" s="85"/>
      <c r="E54" s="67"/>
    </row>
    <row r="55" spans="2:5" ht="15.75" thickBot="1">
      <c r="B55" s="68"/>
      <c r="C55" s="88" t="s">
        <v>168</v>
      </c>
      <c r="D55" s="89"/>
      <c r="E55" s="67"/>
    </row>
    <row r="56" spans="2:5" ht="15" thickBot="1" thickTop="1">
      <c r="B56" s="70"/>
      <c r="C56" s="71"/>
      <c r="D56" s="71"/>
      <c r="E56" s="72"/>
    </row>
    <row r="57" ht="14.25" thickTop="1"/>
  </sheetData>
  <sheetProtection password="CD08" sheet="1"/>
  <mergeCells count="8">
    <mergeCell ref="C18:D18"/>
    <mergeCell ref="C10:D10"/>
    <mergeCell ref="C13:D13"/>
    <mergeCell ref="C16:D16"/>
    <mergeCell ref="C9:D9"/>
    <mergeCell ref="C8:D8"/>
    <mergeCell ref="C12:D12"/>
    <mergeCell ref="C15:D15"/>
  </mergeCells>
  <printOptions horizontalCentered="1" verticalCentered="1"/>
  <pageMargins left="0.75" right="0.75" top="0.6" bottom="0.5" header="0.32" footer="0.5"/>
  <pageSetup fitToHeight="1" fitToWidth="1" horizontalDpi="600" verticalDpi="600" orientation="portrait" scale="71"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dimension ref="B1:H42"/>
  <sheetViews>
    <sheetView workbookViewId="0" topLeftCell="A1">
      <pane ySplit="8" topLeftCell="A12" activePane="bottomLeft" state="frozen"/>
      <selection pane="topLeft" activeCell="A1" sqref="A1"/>
      <selection pane="bottomLeft" activeCell="C12" sqref="C12"/>
    </sheetView>
  </sheetViews>
  <sheetFormatPr defaultColWidth="9.140625" defaultRowHeight="12.75"/>
  <cols>
    <col min="1" max="2" width="3.57421875" style="91" customWidth="1"/>
    <col min="3" max="3" width="50.8515625" style="91" customWidth="1"/>
    <col min="4" max="4" width="17.57421875" style="92" customWidth="1"/>
    <col min="5" max="5" width="12.7109375" style="92" customWidth="1"/>
    <col min="6" max="6" width="11.140625" style="92" customWidth="1"/>
    <col min="7" max="7" width="89.00390625" style="91" customWidth="1"/>
    <col min="8" max="8" width="3.57421875" style="91" customWidth="1"/>
    <col min="9" max="16384" width="8.8515625" style="91" customWidth="1"/>
  </cols>
  <sheetData>
    <row r="1" ht="21">
      <c r="B1" s="298" t="s">
        <v>438</v>
      </c>
    </row>
    <row r="2" ht="18">
      <c r="B2" s="371" t="s">
        <v>439</v>
      </c>
    </row>
    <row r="3" spans="2:3" ht="18">
      <c r="B3" s="103"/>
      <c r="C3" s="103"/>
    </row>
    <row r="4" spans="2:4" ht="18">
      <c r="B4" s="103"/>
      <c r="C4" s="372" t="s">
        <v>294</v>
      </c>
      <c r="D4" s="93"/>
    </row>
    <row r="5" ht="14.25" thickBot="1"/>
    <row r="6" spans="2:8" ht="15.75" thickTop="1">
      <c r="B6" s="104"/>
      <c r="C6" s="105"/>
      <c r="D6" s="106"/>
      <c r="E6" s="106"/>
      <c r="F6" s="106"/>
      <c r="G6" s="105"/>
      <c r="H6" s="95"/>
    </row>
    <row r="7" spans="2:8" ht="15">
      <c r="B7" s="107"/>
      <c r="C7" s="769" t="s">
        <v>240</v>
      </c>
      <c r="D7" s="109" t="s">
        <v>46</v>
      </c>
      <c r="E7" s="770" t="s">
        <v>243</v>
      </c>
      <c r="F7" s="109" t="s">
        <v>242</v>
      </c>
      <c r="G7" s="771" t="s">
        <v>247</v>
      </c>
      <c r="H7" s="98"/>
    </row>
    <row r="8" spans="2:8" ht="15">
      <c r="B8" s="107"/>
      <c r="C8" s="769"/>
      <c r="D8" s="109" t="s">
        <v>244</v>
      </c>
      <c r="E8" s="770"/>
      <c r="F8" s="109" t="s">
        <v>245</v>
      </c>
      <c r="G8" s="772"/>
      <c r="H8" s="98"/>
    </row>
    <row r="9" spans="2:8" ht="12.75" customHeight="1">
      <c r="B9" s="107"/>
      <c r="C9" s="110" t="s">
        <v>246</v>
      </c>
      <c r="D9" s="111"/>
      <c r="E9" s="112" t="s">
        <v>248</v>
      </c>
      <c r="F9" s="113"/>
      <c r="G9" s="114" t="s">
        <v>249</v>
      </c>
      <c r="H9" s="98"/>
    </row>
    <row r="10" spans="2:8" ht="12.75" customHeight="1">
      <c r="B10" s="107"/>
      <c r="C10" s="110" t="s">
        <v>256</v>
      </c>
      <c r="D10" s="111"/>
      <c r="E10" s="112" t="s">
        <v>248</v>
      </c>
      <c r="F10" s="113"/>
      <c r="G10" s="114" t="s">
        <v>249</v>
      </c>
      <c r="H10" s="98"/>
    </row>
    <row r="11" spans="2:8" ht="12.75" customHeight="1">
      <c r="B11" s="107"/>
      <c r="C11" s="110" t="s">
        <v>257</v>
      </c>
      <c r="D11" s="111"/>
      <c r="E11" s="112" t="s">
        <v>248</v>
      </c>
      <c r="F11" s="113"/>
      <c r="G11" s="114" t="s">
        <v>249</v>
      </c>
      <c r="H11" s="98"/>
    </row>
    <row r="12" spans="2:8" ht="12.75" customHeight="1">
      <c r="B12" s="107"/>
      <c r="C12" s="110" t="s">
        <v>56</v>
      </c>
      <c r="D12" s="111"/>
      <c r="E12" s="112" t="s">
        <v>248</v>
      </c>
      <c r="F12" s="113"/>
      <c r="G12" s="114" t="s">
        <v>249</v>
      </c>
      <c r="H12" s="98"/>
    </row>
    <row r="13" spans="2:8" ht="12.75" customHeight="1">
      <c r="B13" s="107"/>
      <c r="C13" s="110" t="s">
        <v>258</v>
      </c>
      <c r="D13" s="111"/>
      <c r="E13" s="112" t="s">
        <v>248</v>
      </c>
      <c r="F13" s="113"/>
      <c r="G13" s="114" t="s">
        <v>249</v>
      </c>
      <c r="H13" s="98"/>
    </row>
    <row r="14" spans="2:8" ht="12.75" customHeight="1">
      <c r="B14" s="107"/>
      <c r="C14" s="110" t="s">
        <v>259</v>
      </c>
      <c r="D14" s="111"/>
      <c r="E14" s="112" t="s">
        <v>248</v>
      </c>
      <c r="F14" s="113"/>
      <c r="G14" s="114" t="s">
        <v>249</v>
      </c>
      <c r="H14" s="98"/>
    </row>
    <row r="15" spans="2:8" ht="12.75" customHeight="1">
      <c r="B15" s="107"/>
      <c r="C15" s="110" t="s">
        <v>260</v>
      </c>
      <c r="D15" s="111"/>
      <c r="E15" s="112" t="s">
        <v>248</v>
      </c>
      <c r="F15" s="113"/>
      <c r="G15" s="114" t="s">
        <v>249</v>
      </c>
      <c r="H15" s="98"/>
    </row>
    <row r="16" spans="2:8" ht="12.75" customHeight="1">
      <c r="B16" s="107"/>
      <c r="C16" s="110" t="s">
        <v>261</v>
      </c>
      <c r="D16" s="111"/>
      <c r="E16" s="112" t="s">
        <v>248</v>
      </c>
      <c r="F16" s="113"/>
      <c r="G16" s="114" t="s">
        <v>249</v>
      </c>
      <c r="H16" s="98"/>
    </row>
    <row r="17" spans="2:8" ht="12.75" customHeight="1">
      <c r="B17" s="107"/>
      <c r="C17" s="110" t="s">
        <v>262</v>
      </c>
      <c r="D17" s="111"/>
      <c r="E17" s="112" t="s">
        <v>248</v>
      </c>
      <c r="F17" s="113"/>
      <c r="G17" s="114" t="s">
        <v>249</v>
      </c>
      <c r="H17" s="98"/>
    </row>
    <row r="18" spans="2:8" ht="12.75" customHeight="1">
      <c r="B18" s="107"/>
      <c r="C18" s="110" t="s">
        <v>265</v>
      </c>
      <c r="D18" s="111"/>
      <c r="E18" s="112" t="s">
        <v>248</v>
      </c>
      <c r="F18" s="113"/>
      <c r="G18" s="114" t="s">
        <v>249</v>
      </c>
      <c r="H18" s="98"/>
    </row>
    <row r="19" spans="2:8" ht="12.75" customHeight="1">
      <c r="B19" s="107"/>
      <c r="C19" s="110" t="s">
        <v>278</v>
      </c>
      <c r="D19" s="115"/>
      <c r="E19" s="112" t="s">
        <v>248</v>
      </c>
      <c r="F19" s="113"/>
      <c r="G19" s="114" t="s">
        <v>249</v>
      </c>
      <c r="H19" s="98"/>
    </row>
    <row r="20" spans="2:8" ht="12.75" customHeight="1">
      <c r="B20" s="107"/>
      <c r="C20" s="110" t="s">
        <v>285</v>
      </c>
      <c r="D20" s="115"/>
      <c r="E20" s="112" t="s">
        <v>248</v>
      </c>
      <c r="F20" s="113"/>
      <c r="G20" s="114" t="s">
        <v>249</v>
      </c>
      <c r="H20" s="98"/>
    </row>
    <row r="21" spans="2:8" ht="12.75" customHeight="1">
      <c r="B21" s="107"/>
      <c r="C21" s="110" t="s">
        <v>283</v>
      </c>
      <c r="D21" s="115"/>
      <c r="E21" s="112" t="s">
        <v>248</v>
      </c>
      <c r="F21" s="113"/>
      <c r="G21" s="114" t="s">
        <v>249</v>
      </c>
      <c r="H21" s="98"/>
    </row>
    <row r="22" spans="2:8" ht="12.75" customHeight="1">
      <c r="B22" s="107"/>
      <c r="C22" s="110" t="s">
        <v>284</v>
      </c>
      <c r="D22" s="115"/>
      <c r="E22" s="112" t="s">
        <v>248</v>
      </c>
      <c r="F22" s="113"/>
      <c r="G22" s="114" t="s">
        <v>249</v>
      </c>
      <c r="H22" s="98"/>
    </row>
    <row r="23" spans="2:8" ht="12.75" customHeight="1">
      <c r="B23" s="107"/>
      <c r="C23" s="110" t="s">
        <v>286</v>
      </c>
      <c r="D23" s="115"/>
      <c r="E23" s="112" t="s">
        <v>248</v>
      </c>
      <c r="F23" s="113"/>
      <c r="G23" s="114" t="s">
        <v>249</v>
      </c>
      <c r="H23" s="98"/>
    </row>
    <row r="24" spans="2:8" ht="12.75" customHeight="1">
      <c r="B24" s="107"/>
      <c r="C24" s="110" t="s">
        <v>279</v>
      </c>
      <c r="D24" s="115"/>
      <c r="E24" s="112" t="s">
        <v>248</v>
      </c>
      <c r="F24" s="113"/>
      <c r="G24" s="114" t="s">
        <v>249</v>
      </c>
      <c r="H24" s="98"/>
    </row>
    <row r="25" spans="2:8" ht="12.75" customHeight="1">
      <c r="B25" s="107"/>
      <c r="C25" s="110" t="s">
        <v>280</v>
      </c>
      <c r="D25" s="115"/>
      <c r="E25" s="112" t="s">
        <v>248</v>
      </c>
      <c r="F25" s="113"/>
      <c r="G25" s="114" t="s">
        <v>249</v>
      </c>
      <c r="H25" s="98"/>
    </row>
    <row r="26" spans="2:8" ht="12.75" customHeight="1">
      <c r="B26" s="107"/>
      <c r="C26" s="110" t="s">
        <v>281</v>
      </c>
      <c r="D26" s="115"/>
      <c r="E26" s="112" t="s">
        <v>248</v>
      </c>
      <c r="F26" s="113"/>
      <c r="G26" s="114" t="s">
        <v>249</v>
      </c>
      <c r="H26" s="98"/>
    </row>
    <row r="27" spans="2:8" ht="12.75" customHeight="1">
      <c r="B27" s="107"/>
      <c r="C27" s="110" t="s">
        <v>267</v>
      </c>
      <c r="D27" s="113"/>
      <c r="E27" s="112" t="s">
        <v>248</v>
      </c>
      <c r="F27" s="113"/>
      <c r="G27" s="114" t="s">
        <v>249</v>
      </c>
      <c r="H27" s="98"/>
    </row>
    <row r="28" spans="2:8" ht="12.75" customHeight="1">
      <c r="B28" s="107"/>
      <c r="C28" s="110" t="s">
        <v>268</v>
      </c>
      <c r="D28" s="113"/>
      <c r="E28" s="112" t="s">
        <v>248</v>
      </c>
      <c r="F28" s="113"/>
      <c r="G28" s="114" t="s">
        <v>249</v>
      </c>
      <c r="H28" s="98"/>
    </row>
    <row r="29" spans="2:8" ht="12.75" customHeight="1">
      <c r="B29" s="107"/>
      <c r="C29" s="110" t="s">
        <v>269</v>
      </c>
      <c r="D29" s="113"/>
      <c r="E29" s="112" t="s">
        <v>248</v>
      </c>
      <c r="F29" s="113"/>
      <c r="G29" s="114" t="s">
        <v>249</v>
      </c>
      <c r="H29" s="98"/>
    </row>
    <row r="30" spans="2:8" ht="12.75" customHeight="1">
      <c r="B30" s="107"/>
      <c r="C30" s="110" t="s">
        <v>270</v>
      </c>
      <c r="D30" s="113"/>
      <c r="E30" s="112" t="s">
        <v>248</v>
      </c>
      <c r="F30" s="113"/>
      <c r="G30" s="114" t="s">
        <v>249</v>
      </c>
      <c r="H30" s="98"/>
    </row>
    <row r="31" spans="2:8" ht="12.75" customHeight="1">
      <c r="B31" s="107"/>
      <c r="C31" s="110" t="s">
        <v>272</v>
      </c>
      <c r="D31" s="113"/>
      <c r="E31" s="112" t="s">
        <v>248</v>
      </c>
      <c r="F31" s="113"/>
      <c r="G31" s="116" t="s">
        <v>264</v>
      </c>
      <c r="H31" s="98"/>
    </row>
    <row r="32" spans="2:8" ht="15">
      <c r="B32" s="107"/>
      <c r="C32" s="110" t="s">
        <v>273</v>
      </c>
      <c r="D32" s="113"/>
      <c r="E32" s="112" t="s">
        <v>248</v>
      </c>
      <c r="F32" s="113"/>
      <c r="G32" s="110" t="s">
        <v>249</v>
      </c>
      <c r="H32" s="98"/>
    </row>
    <row r="33" spans="2:8" ht="17.25">
      <c r="B33" s="107"/>
      <c r="C33" s="110" t="s">
        <v>274</v>
      </c>
      <c r="D33" s="113"/>
      <c r="E33" s="117" t="s">
        <v>396</v>
      </c>
      <c r="F33" s="113"/>
      <c r="G33" s="773" t="s">
        <v>263</v>
      </c>
      <c r="H33" s="98"/>
    </row>
    <row r="34" spans="2:8" ht="17.25">
      <c r="B34" s="107"/>
      <c r="C34" s="110" t="s">
        <v>361</v>
      </c>
      <c r="D34" s="113"/>
      <c r="E34" s="117" t="s">
        <v>396</v>
      </c>
      <c r="F34" s="113"/>
      <c r="G34" s="774"/>
      <c r="H34" s="98"/>
    </row>
    <row r="35" spans="2:8" ht="17.25">
      <c r="B35" s="107"/>
      <c r="C35" s="110" t="s">
        <v>275</v>
      </c>
      <c r="D35" s="113"/>
      <c r="E35" s="117" t="s">
        <v>396</v>
      </c>
      <c r="F35" s="113"/>
      <c r="G35" s="775"/>
      <c r="H35" s="98"/>
    </row>
    <row r="36" spans="2:8" ht="15">
      <c r="B36" s="107"/>
      <c r="C36" s="110" t="s">
        <v>250</v>
      </c>
      <c r="D36" s="113"/>
      <c r="E36" s="117" t="s">
        <v>555</v>
      </c>
      <c r="F36" s="113"/>
      <c r="G36" s="110" t="s">
        <v>293</v>
      </c>
      <c r="H36" s="98"/>
    </row>
    <row r="37" spans="2:8" ht="15">
      <c r="B37" s="107"/>
      <c r="C37" s="110" t="s">
        <v>251</v>
      </c>
      <c r="D37" s="115"/>
      <c r="E37" s="117" t="s">
        <v>555</v>
      </c>
      <c r="F37" s="113"/>
      <c r="G37" s="110" t="s">
        <v>249</v>
      </c>
      <c r="H37" s="98"/>
    </row>
    <row r="38" spans="2:8" ht="15">
      <c r="B38" s="107"/>
      <c r="C38" s="110" t="s">
        <v>252</v>
      </c>
      <c r="D38" s="115"/>
      <c r="E38" s="117" t="s">
        <v>555</v>
      </c>
      <c r="F38" s="113"/>
      <c r="G38" s="110" t="s">
        <v>249</v>
      </c>
      <c r="H38" s="98"/>
    </row>
    <row r="39" spans="2:8" ht="15">
      <c r="B39" s="107"/>
      <c r="C39" s="110" t="s">
        <v>253</v>
      </c>
      <c r="D39" s="115"/>
      <c r="E39" s="117" t="s">
        <v>555</v>
      </c>
      <c r="F39" s="113"/>
      <c r="G39" s="110" t="s">
        <v>249</v>
      </c>
      <c r="H39" s="98"/>
    </row>
    <row r="40" spans="2:8" ht="15">
      <c r="B40" s="107"/>
      <c r="C40" s="110" t="s">
        <v>254</v>
      </c>
      <c r="D40" s="115"/>
      <c r="E40" s="117" t="s">
        <v>555</v>
      </c>
      <c r="F40" s="113"/>
      <c r="G40" s="110" t="s">
        <v>249</v>
      </c>
      <c r="H40" s="98"/>
    </row>
    <row r="41" spans="2:8" ht="15">
      <c r="B41" s="107"/>
      <c r="C41" s="118" t="s">
        <v>255</v>
      </c>
      <c r="D41" s="113"/>
      <c r="E41" s="117" t="s">
        <v>555</v>
      </c>
      <c r="F41" s="113"/>
      <c r="G41" s="110" t="s">
        <v>293</v>
      </c>
      <c r="H41" s="98"/>
    </row>
    <row r="42" spans="2:8" ht="15" customHeight="1" thickBot="1">
      <c r="B42" s="99"/>
      <c r="C42" s="100"/>
      <c r="D42" s="101"/>
      <c r="E42" s="101"/>
      <c r="F42" s="101"/>
      <c r="G42" s="100"/>
      <c r="H42" s="102"/>
    </row>
    <row r="43" ht="14.25" thickTop="1"/>
  </sheetData>
  <sheetProtection password="CD08" sheet="1"/>
  <mergeCells count="4">
    <mergeCell ref="C7:C8"/>
    <mergeCell ref="E7:E8"/>
    <mergeCell ref="G7:G8"/>
    <mergeCell ref="G33:G35"/>
  </mergeCells>
  <printOptions/>
  <pageMargins left="0.7" right="0.7" top="0.75" bottom="0.75" header="0.3" footer="0.3"/>
  <pageSetup horizontalDpi="1200" verticalDpi="1200" orientation="landscape" scale="69" r:id="rId1"/>
</worksheet>
</file>

<file path=xl/worksheets/sheet5.xml><?xml version="1.0" encoding="utf-8"?>
<worksheet xmlns="http://schemas.openxmlformats.org/spreadsheetml/2006/main" xmlns:r="http://schemas.openxmlformats.org/officeDocument/2006/relationships">
  <sheetPr>
    <pageSetUpPr fitToPage="1"/>
  </sheetPr>
  <dimension ref="B1:L43"/>
  <sheetViews>
    <sheetView zoomScale="115" zoomScaleNormal="115" zoomScaleSheetLayoutView="85" zoomScalePageLayoutView="0" workbookViewId="0" topLeftCell="A1">
      <pane ySplit="7" topLeftCell="A20" activePane="bottomLeft" state="frozen"/>
      <selection pane="topLeft" activeCell="A1" sqref="A1"/>
      <selection pane="bottomLeft" activeCell="M5" sqref="M5"/>
    </sheetView>
  </sheetViews>
  <sheetFormatPr defaultColWidth="9.7109375" defaultRowHeight="12.75"/>
  <cols>
    <col min="1" max="2" width="3.57421875" style="127" customWidth="1"/>
    <col min="3" max="3" width="47.8515625" style="127" customWidth="1"/>
    <col min="4" max="4" width="9.140625" style="127" customWidth="1"/>
    <col min="5" max="5" width="35.7109375" style="127" customWidth="1"/>
    <col min="6" max="6" width="11.8515625" style="128" customWidth="1"/>
    <col min="7" max="7" width="13.140625" style="128" customWidth="1"/>
    <col min="8" max="8" width="9.8515625" style="128" customWidth="1"/>
    <col min="9" max="9" width="3.57421875" style="127" customWidth="1"/>
    <col min="10" max="10" width="22.8515625" style="127" customWidth="1"/>
    <col min="11" max="11" width="25.7109375" style="127" hidden="1" customWidth="1"/>
    <col min="12" max="12" width="25.57421875" style="127" hidden="1" customWidth="1"/>
    <col min="13" max="13" width="17.28125" style="127" customWidth="1"/>
    <col min="14" max="14" width="19.140625" style="127" customWidth="1"/>
    <col min="15" max="15" width="16.8515625" style="127" customWidth="1"/>
    <col min="16" max="16" width="19.140625" style="127" customWidth="1"/>
    <col min="17" max="17" width="17.57421875" style="127" customWidth="1"/>
    <col min="18" max="18" width="15.8515625" style="127" customWidth="1"/>
    <col min="19" max="19" width="16.8515625" style="127" customWidth="1"/>
    <col min="20" max="20" width="5.421875" style="127" customWidth="1"/>
    <col min="21" max="16384" width="9.7109375" style="127" customWidth="1"/>
  </cols>
  <sheetData>
    <row r="1" ht="21">
      <c r="B1" s="297" t="s">
        <v>437</v>
      </c>
    </row>
    <row r="2" spans="2:8" ht="18">
      <c r="B2" s="776" t="s">
        <v>442</v>
      </c>
      <c r="C2" s="776"/>
      <c r="D2" s="776"/>
      <c r="E2" s="776"/>
      <c r="F2" s="776"/>
      <c r="G2" s="776"/>
      <c r="H2" s="776"/>
    </row>
    <row r="3" spans="2:8" ht="18">
      <c r="B3" s="384" t="s">
        <v>552</v>
      </c>
      <c r="C3" s="373"/>
      <c r="D3" s="373"/>
      <c r="E3" s="373"/>
      <c r="F3" s="373"/>
      <c r="G3" s="373"/>
      <c r="H3" s="373"/>
    </row>
    <row r="4" spans="2:10" ht="15.75" thickBot="1">
      <c r="B4" s="130"/>
      <c r="C4" s="130"/>
      <c r="D4" s="130"/>
      <c r="E4" s="130"/>
      <c r="F4" s="131"/>
      <c r="G4" s="132"/>
      <c r="H4" s="133"/>
      <c r="I4" s="134"/>
      <c r="J4" s="134"/>
    </row>
    <row r="5" spans="2:9" ht="18" thickTop="1">
      <c r="B5" s="140"/>
      <c r="C5" s="105"/>
      <c r="D5" s="105"/>
      <c r="E5" s="105"/>
      <c r="F5" s="141"/>
      <c r="G5" s="141"/>
      <c r="H5" s="141"/>
      <c r="I5" s="142"/>
    </row>
    <row r="6" spans="2:9" ht="18">
      <c r="B6" s="107"/>
      <c r="C6" s="769" t="s">
        <v>240</v>
      </c>
      <c r="D6" s="770" t="s">
        <v>243</v>
      </c>
      <c r="E6" s="109" t="s">
        <v>397</v>
      </c>
      <c r="F6" s="109" t="s">
        <v>398</v>
      </c>
      <c r="G6" s="109" t="s">
        <v>399</v>
      </c>
      <c r="H6" s="782" t="s">
        <v>291</v>
      </c>
      <c r="I6" s="144"/>
    </row>
    <row r="7" spans="2:9" ht="30.75">
      <c r="B7" s="107"/>
      <c r="C7" s="769"/>
      <c r="D7" s="770"/>
      <c r="E7" s="109" t="s">
        <v>244</v>
      </c>
      <c r="F7" s="135" t="s">
        <v>292</v>
      </c>
      <c r="G7" s="135" t="s">
        <v>292</v>
      </c>
      <c r="H7" s="783"/>
      <c r="I7" s="144"/>
    </row>
    <row r="8" spans="2:9" ht="15">
      <c r="B8" s="107"/>
      <c r="C8" s="136" t="str">
        <f>'Carbon Contents and HHVs'!C9</f>
        <v>Ethane</v>
      </c>
      <c r="D8" s="112" t="s">
        <v>248</v>
      </c>
      <c r="E8" s="137">
        <f>EFs_GHGRP!E9</f>
        <v>986</v>
      </c>
      <c r="F8" s="137">
        <f>IF('Carbon Contents and HHVs'!F9="",EFs_GHGRP!G9,EFs_GHGRP!H9/1000)</f>
        <v>0.024</v>
      </c>
      <c r="G8" s="137">
        <f>IF('Carbon Contents and HHVs'!F9="",EFs_GHGRP!I9,EFs_GHGRP!J9/1000)</f>
        <v>0.108</v>
      </c>
      <c r="H8" s="137" t="str">
        <f>IF('Carbon Contents and HHVs'!F9="",'Carbon Contents and HHVs'!E9,"GJ HHV")</f>
        <v>kL</v>
      </c>
      <c r="I8" s="144"/>
    </row>
    <row r="9" spans="2:9" ht="15">
      <c r="B9" s="107"/>
      <c r="C9" s="136" t="str">
        <f>'Carbon Contents and HHVs'!C10</f>
        <v>Propane - Industry</v>
      </c>
      <c r="D9" s="112" t="s">
        <v>248</v>
      </c>
      <c r="E9" s="137">
        <f>EFs_GHGRP!E10</f>
        <v>1515</v>
      </c>
      <c r="F9" s="139">
        <f>IF('Carbon Contents and HHVs'!F10="",EFs_GHGRP!G10,EFs_GHGRP!H10/1000)</f>
        <v>0.024</v>
      </c>
      <c r="G9" s="139">
        <f>IF('Carbon Contents and HHVs'!F10="",EFs_GHGRP!I10,EFs_GHGRP!J10/1000)</f>
        <v>0.108</v>
      </c>
      <c r="H9" s="137" t="str">
        <f>IF('Carbon Contents and HHVs'!F10="",'Carbon Contents and HHVs'!E10,"GJ HHV")</f>
        <v>kL</v>
      </c>
      <c r="I9" s="144"/>
    </row>
    <row r="10" spans="2:9" ht="15">
      <c r="B10" s="107"/>
      <c r="C10" s="136" t="str">
        <f>'Carbon Contents and HHVs'!C11</f>
        <v>Propane - Onsite transportation</v>
      </c>
      <c r="D10" s="112" t="s">
        <v>248</v>
      </c>
      <c r="E10" s="137">
        <f>EFs_GHGRP!E11</f>
        <v>1515</v>
      </c>
      <c r="F10" s="139">
        <f>IF('Carbon Contents and HHVs'!F11="",EFs_GHGRP!G11,EFs_GHGRP!H11/1000)</f>
        <v>0.64</v>
      </c>
      <c r="G10" s="139">
        <f>IF('Carbon Contents and HHVs'!F11="",EFs_GHGRP!I11,EFs_GHGRP!J11/1000)</f>
        <v>0.087</v>
      </c>
      <c r="H10" s="137" t="str">
        <f>IF('Carbon Contents and HHVs'!F11="",'Carbon Contents and HHVs'!E11,"GJ HHV")</f>
        <v>kL</v>
      </c>
      <c r="I10" s="144"/>
    </row>
    <row r="11" spans="2:9" ht="15">
      <c r="B11" s="107"/>
      <c r="C11" s="136" t="str">
        <f>'Carbon Contents and HHVs'!C12</f>
        <v>Butane</v>
      </c>
      <c r="D11" s="112" t="s">
        <v>248</v>
      </c>
      <c r="E11" s="137">
        <f>EFs_GHGRP!E12</f>
        <v>1747</v>
      </c>
      <c r="F11" s="139">
        <f>IF('Carbon Contents and HHVs'!F12="",EFs_GHGRP!G12,EFs_GHGRP!H12/1000)</f>
        <v>0.024</v>
      </c>
      <c r="G11" s="139">
        <f>IF('Carbon Contents and HHVs'!F12="",EFs_GHGRP!I12,EFs_GHGRP!J12/1000)</f>
        <v>0.108</v>
      </c>
      <c r="H11" s="137" t="str">
        <f>IF('Carbon Contents and HHVs'!F12="",'Carbon Contents and HHVs'!E12,"GJ HHV")</f>
        <v>kL</v>
      </c>
      <c r="I11" s="144"/>
    </row>
    <row r="12" spans="2:9" ht="15">
      <c r="B12" s="107"/>
      <c r="C12" s="136" t="str">
        <f>'Carbon Contents and HHVs'!C13</f>
        <v>Diesel - Stationary combustion</v>
      </c>
      <c r="D12" s="112" t="s">
        <v>248</v>
      </c>
      <c r="E12" s="137">
        <f>EFs_GHGRP!E13</f>
        <v>2681</v>
      </c>
      <c r="F12" s="139">
        <f>IF('Carbon Contents and HHVs'!F13="",EFs_GHGRP!G13,EFs_GHGRP!H13/1000)</f>
        <v>0.078</v>
      </c>
      <c r="G12" s="139">
        <f>IF('Carbon Contents and HHVs'!F13="",EFs_GHGRP!I13,EFs_GHGRP!J13/1000)</f>
        <v>0.02</v>
      </c>
      <c r="H12" s="137" t="str">
        <f>IF('Carbon Contents and HHVs'!F13="",'Carbon Contents and HHVs'!E13,"GJ HHV")</f>
        <v>kL</v>
      </c>
      <c r="I12" s="144"/>
    </row>
    <row r="13" spans="2:9" ht="15">
      <c r="B13" s="107"/>
      <c r="C13" s="136" t="str">
        <f>'Carbon Contents and HHVs'!C14</f>
        <v>Diesel - Onsite transportation, &lt; 19 kW</v>
      </c>
      <c r="D13" s="112" t="s">
        <v>248</v>
      </c>
      <c r="E13" s="137">
        <f>EFs_GHGRP!E14</f>
        <v>2681</v>
      </c>
      <c r="F13" s="139">
        <f>IF('Carbon Contents and HHVs'!F14="",EFs_GHGRP!G14,EFs_GHGRP!H14/1000)</f>
        <v>0.073</v>
      </c>
      <c r="G13" s="139">
        <f>IF('Carbon Contents and HHVs'!F14="",EFs_GHGRP!I14,EFs_GHGRP!J14/1000)</f>
        <v>0.02</v>
      </c>
      <c r="H13" s="137" t="str">
        <f>IF('Carbon Contents and HHVs'!F14="",'Carbon Contents and HHVs'!E14,"GJ HHV")</f>
        <v>kL</v>
      </c>
      <c r="I13" s="144"/>
    </row>
    <row r="14" spans="2:9" ht="15">
      <c r="B14" s="107"/>
      <c r="C14" s="136" t="str">
        <f>'Carbon Contents and HHVs'!C15</f>
        <v>Diesel - Onsite transportation, &gt;= 19 kW, Tier 1-3</v>
      </c>
      <c r="D14" s="112" t="s">
        <v>248</v>
      </c>
      <c r="E14" s="137">
        <f>EFs_GHGRP!E15</f>
        <v>2681</v>
      </c>
      <c r="F14" s="139">
        <f>IF('Carbon Contents and HHVs'!F15="",EFs_GHGRP!G15,EFs_GHGRP!H15/1000)</f>
        <v>0.073</v>
      </c>
      <c r="G14" s="139">
        <f>IF('Carbon Contents and HHVs'!F15="",EFs_GHGRP!I15,EFs_GHGRP!J15/1000)</f>
        <v>0.02</v>
      </c>
      <c r="H14" s="137" t="str">
        <f>IF('Carbon Contents and HHVs'!F15="",'Carbon Contents and HHVs'!E15,"GJ HHV")</f>
        <v>kL</v>
      </c>
      <c r="I14" s="144"/>
    </row>
    <row r="15" spans="2:9" ht="15">
      <c r="B15" s="107"/>
      <c r="C15" s="136" t="str">
        <f>'Carbon Contents and HHVs'!C16</f>
        <v>Diesel - Onsite transportation, &gt;= 19 kW, Tier 1-4</v>
      </c>
      <c r="D15" s="112" t="s">
        <v>248</v>
      </c>
      <c r="E15" s="137">
        <f>EFs_GHGRP!E16</f>
        <v>2681</v>
      </c>
      <c r="F15" s="139">
        <f>IF('Carbon Contents and HHVs'!F16="",EFs_GHGRP!G16,EFs_GHGRP!H16/1000)</f>
        <v>0.073</v>
      </c>
      <c r="G15" s="139">
        <f>IF('Carbon Contents and HHVs'!F16="",EFs_GHGRP!I16,EFs_GHGRP!J16/1000)</f>
        <v>0.23</v>
      </c>
      <c r="H15" s="137" t="str">
        <f>IF('Carbon Contents and HHVs'!F16="",'Carbon Contents and HHVs'!E16,"GJ HHV")</f>
        <v>kL</v>
      </c>
      <c r="I15" s="144"/>
    </row>
    <row r="16" spans="2:9" ht="15">
      <c r="B16" s="107"/>
      <c r="C16" s="136" t="str">
        <f>'Carbon Contents and HHVs'!C17</f>
        <v>Gasoline - Stationary combustion</v>
      </c>
      <c r="D16" s="112" t="s">
        <v>248</v>
      </c>
      <c r="E16" s="137">
        <f>EFs_GHGRP!E17</f>
        <v>2307</v>
      </c>
      <c r="F16" s="139">
        <f>IF('Carbon Contents and HHVs'!F17="",EFs_GHGRP!G17,EFs_GHGRP!H17/1000)</f>
        <v>0.1</v>
      </c>
      <c r="G16" s="139">
        <f>IF('Carbon Contents and HHVs'!F17="",EFs_GHGRP!I17,EFs_GHGRP!J17/1000)</f>
        <v>0.02</v>
      </c>
      <c r="H16" s="137" t="str">
        <f>IF('Carbon Contents and HHVs'!F17="",'Carbon Contents and HHVs'!E17,"GJ HHV")</f>
        <v>kL</v>
      </c>
      <c r="I16" s="144"/>
    </row>
    <row r="17" spans="2:9" ht="15">
      <c r="B17" s="107"/>
      <c r="C17" s="136" t="str">
        <f>'Carbon Contents and HHVs'!C18</f>
        <v>Gasoline - Onsite transportation, 2-stroke</v>
      </c>
      <c r="D17" s="112" t="s">
        <v>248</v>
      </c>
      <c r="E17" s="137">
        <f>EFs_GHGRP!E18</f>
        <v>2307</v>
      </c>
      <c r="F17" s="139">
        <f>IF('Carbon Contents and HHVs'!F18="",EFs_GHGRP!G18,EFs_GHGRP!H18/1000)</f>
        <v>10.6</v>
      </c>
      <c r="G17" s="139">
        <f>IF('Carbon Contents and HHVs'!F18="",EFs_GHGRP!I18,EFs_GHGRP!J18/1000)</f>
        <v>0.013</v>
      </c>
      <c r="H17" s="137" t="str">
        <f>IF('Carbon Contents and HHVs'!F18="",'Carbon Contents and HHVs'!E18,"GJ HHV")</f>
        <v>kL</v>
      </c>
      <c r="I17" s="144"/>
    </row>
    <row r="18" spans="2:9" ht="15">
      <c r="B18" s="107"/>
      <c r="C18" s="136" t="str">
        <f>'Carbon Contents and HHVs'!C19</f>
        <v>Gasoline - Onsite transportation, 4-stroke</v>
      </c>
      <c r="D18" s="112" t="s">
        <v>248</v>
      </c>
      <c r="E18" s="137">
        <f>EFs_GHGRP!E19</f>
        <v>2307</v>
      </c>
      <c r="F18" s="139">
        <f>IF('Carbon Contents and HHVs'!F19="",EFs_GHGRP!G19,EFs_GHGRP!H19/1000)</f>
        <v>5.08</v>
      </c>
      <c r="G18" s="139">
        <f>IF('Carbon Contents and HHVs'!F19="",EFs_GHGRP!I19,EFs_GHGRP!J19/1000)</f>
        <v>0.064</v>
      </c>
      <c r="H18" s="137" t="str">
        <f>IF('Carbon Contents and HHVs'!F19="",'Carbon Contents and HHVs'!E19,"GJ HHV")</f>
        <v>kL</v>
      </c>
      <c r="I18" s="144"/>
    </row>
    <row r="19" spans="2:9" ht="15">
      <c r="B19" s="107"/>
      <c r="C19" s="136" t="str">
        <f>'Carbon Contents and HHVs'!C20</f>
        <v>Ethanol - Stationary combustion</v>
      </c>
      <c r="D19" s="112" t="s">
        <v>248</v>
      </c>
      <c r="E19" s="137">
        <f>EFs_GHGRP!E20</f>
        <v>1508</v>
      </c>
      <c r="F19" s="139">
        <f>IF('Carbon Contents and HHVs'!F20="",EFs_GHGRP!G20,EFs_GHGRP!H20/1000)</f>
        <v>0.1</v>
      </c>
      <c r="G19" s="139">
        <f>IF('Carbon Contents and HHVs'!F20="",EFs_GHGRP!I20,EFs_GHGRP!J20/1000)</f>
        <v>0.02</v>
      </c>
      <c r="H19" s="137" t="str">
        <f>IF('Carbon Contents and HHVs'!F20="",'Carbon Contents and HHVs'!E20,"GJ HHV")</f>
        <v>kL</v>
      </c>
      <c r="I19" s="144"/>
    </row>
    <row r="20" spans="2:9" ht="15">
      <c r="B20" s="107"/>
      <c r="C20" s="136" t="str">
        <f>'Carbon Contents and HHVs'!C21</f>
        <v>Ethanol - Onsite transportation, 2-stroke</v>
      </c>
      <c r="D20" s="112" t="s">
        <v>248</v>
      </c>
      <c r="E20" s="137">
        <f>EFs_GHGRP!E21</f>
        <v>1508</v>
      </c>
      <c r="F20" s="139">
        <f>IF('Carbon Contents and HHVs'!F21="",EFs_GHGRP!G21,EFs_GHGRP!H21/1000)</f>
        <v>10.6</v>
      </c>
      <c r="G20" s="139">
        <f>IF('Carbon Contents and HHVs'!F21="",EFs_GHGRP!I21,EFs_GHGRP!J21/1000)</f>
        <v>0.013</v>
      </c>
      <c r="H20" s="137" t="str">
        <f>IF('Carbon Contents and HHVs'!F21="",'Carbon Contents and HHVs'!E21,"GJ HHV")</f>
        <v>kL</v>
      </c>
      <c r="I20" s="144"/>
    </row>
    <row r="21" spans="2:9" ht="12.75" customHeight="1">
      <c r="B21" s="107"/>
      <c r="C21" s="136" t="str">
        <f>'Carbon Contents and HHVs'!C22</f>
        <v>Ethanol - Onsite transportation, 4-stroke</v>
      </c>
      <c r="D21" s="112" t="s">
        <v>248</v>
      </c>
      <c r="E21" s="137">
        <f>EFs_GHGRP!E22</f>
        <v>1508</v>
      </c>
      <c r="F21" s="139">
        <f>IF('Carbon Contents and HHVs'!F22="",EFs_GHGRP!G22,EFs_GHGRP!H22/1000)</f>
        <v>5.08</v>
      </c>
      <c r="G21" s="139">
        <f>IF('Carbon Contents and HHVs'!F22="",EFs_GHGRP!I22,EFs_GHGRP!J22/1000)</f>
        <v>0.064</v>
      </c>
      <c r="H21" s="137" t="str">
        <f>IF('Carbon Contents and HHVs'!F22="",'Carbon Contents and HHVs'!E22,"GJ HHV")</f>
        <v>kL</v>
      </c>
      <c r="I21" s="144"/>
    </row>
    <row r="22" spans="2:9" ht="12.75" customHeight="1">
      <c r="B22" s="107"/>
      <c r="C22" s="136" t="str">
        <f>'Carbon Contents and HHVs'!C23</f>
        <v>Biodiesel - Stationary combustion</v>
      </c>
      <c r="D22" s="112" t="s">
        <v>248</v>
      </c>
      <c r="E22" s="137">
        <f>EFs_GHGRP!E23</f>
        <v>2472</v>
      </c>
      <c r="F22" s="139">
        <f>IF('Carbon Contents and HHVs'!F23="",EFs_GHGRP!G23,EFs_GHGRP!H23/1000)</f>
        <v>0.078</v>
      </c>
      <c r="G22" s="139">
        <f>IF('Carbon Contents and HHVs'!F23="",EFs_GHGRP!I23,EFs_GHGRP!J23/1000)</f>
        <v>0.02</v>
      </c>
      <c r="H22" s="137" t="str">
        <f>IF('Carbon Contents and HHVs'!F23="",'Carbon Contents and HHVs'!E23,"GJ HHV")</f>
        <v>kL</v>
      </c>
      <c r="I22" s="144"/>
    </row>
    <row r="23" spans="2:9" ht="12.75" customHeight="1">
      <c r="B23" s="107"/>
      <c r="C23" s="136" t="str">
        <f>'Carbon Contents and HHVs'!C24</f>
        <v>Biodiesel - Onsite transportation, &lt; 19 kW</v>
      </c>
      <c r="D23" s="112" t="s">
        <v>248</v>
      </c>
      <c r="E23" s="137">
        <f>EFs_GHGRP!E24</f>
        <v>2472</v>
      </c>
      <c r="F23" s="139">
        <f>IF('Carbon Contents and HHVs'!F24="",EFs_GHGRP!G24,EFs_GHGRP!H24/1000)</f>
        <v>0.073</v>
      </c>
      <c r="G23" s="139">
        <f>IF('Carbon Contents and HHVs'!F24="",EFs_GHGRP!I24,EFs_GHGRP!J24/1000)</f>
        <v>0.02</v>
      </c>
      <c r="H23" s="137" t="str">
        <f>IF('Carbon Contents and HHVs'!F24="",'Carbon Contents and HHVs'!E24,"GJ HHV")</f>
        <v>kL</v>
      </c>
      <c r="I23" s="144"/>
    </row>
    <row r="24" spans="2:9" ht="12.75" customHeight="1">
      <c r="B24" s="107"/>
      <c r="C24" s="136" t="str">
        <f>'Carbon Contents and HHVs'!C25</f>
        <v>Biodiesel - Onsite transportation, &gt;= 19 kW, Tier 1-3</v>
      </c>
      <c r="D24" s="112" t="s">
        <v>248</v>
      </c>
      <c r="E24" s="137">
        <f>EFs_GHGRP!E25</f>
        <v>2472</v>
      </c>
      <c r="F24" s="139">
        <f>IF('Carbon Contents and HHVs'!F25="",EFs_GHGRP!G25,EFs_GHGRP!H25/1000)</f>
        <v>0.073</v>
      </c>
      <c r="G24" s="139">
        <f>IF('Carbon Contents and HHVs'!F25="",EFs_GHGRP!I25,EFs_GHGRP!J25/1000)</f>
        <v>0.02</v>
      </c>
      <c r="H24" s="137" t="str">
        <f>IF('Carbon Contents and HHVs'!F25="",'Carbon Contents and HHVs'!E25,"GJ HHV")</f>
        <v>kL</v>
      </c>
      <c r="I24" s="144"/>
    </row>
    <row r="25" spans="2:9" ht="15">
      <c r="B25" s="107"/>
      <c r="C25" s="136" t="str">
        <f>'Carbon Contents and HHVs'!C26</f>
        <v>Biodiesel - Onsite transportation, &gt;= 19 kW, Tier 1-4</v>
      </c>
      <c r="D25" s="112" t="s">
        <v>248</v>
      </c>
      <c r="E25" s="137">
        <f>EFs_GHGRP!E26</f>
        <v>2472</v>
      </c>
      <c r="F25" s="139">
        <f>IF('Carbon Contents and HHVs'!F26="",EFs_GHGRP!G26,EFs_GHGRP!H26/1000)</f>
        <v>0.073</v>
      </c>
      <c r="G25" s="139">
        <f>IF('Carbon Contents and HHVs'!F26="",EFs_GHGRP!I26,EFs_GHGRP!J26/1000)</f>
        <v>0.23</v>
      </c>
      <c r="H25" s="137" t="str">
        <f>IF('Carbon Contents and HHVs'!F26="",'Carbon Contents and HHVs'!E26,"GJ HHV")</f>
        <v>kL</v>
      </c>
      <c r="I25" s="144"/>
    </row>
    <row r="26" spans="2:9" ht="12.75" customHeight="1">
      <c r="B26" s="107"/>
      <c r="C26" s="136" t="s">
        <v>331</v>
      </c>
      <c r="D26" s="112" t="s">
        <v>248</v>
      </c>
      <c r="E26" s="333" t="str">
        <f>IF('Carbon Contents and HHVs'!D27="","No carbon content provided",'Carbon Contents and HHVs'!D27*44/12)</f>
        <v>No carbon content provided</v>
      </c>
      <c r="F26" s="139">
        <f>IF('Carbon Contents and HHVs'!F27="",EFs_GHGRP!G27,EFs_GHGRP!H27/1000)</f>
        <v>0.006</v>
      </c>
      <c r="G26" s="139">
        <f>IF('Carbon Contents and HHVs'!F27="",EFs_GHGRP!I27,EFs_GHGRP!J27/1000)</f>
        <v>0.031</v>
      </c>
      <c r="H26" s="137" t="str">
        <f>IF('Carbon Contents and HHVs'!F27="",'Carbon Contents and HHVs'!E27,"GJ HHV")</f>
        <v>kL</v>
      </c>
      <c r="I26" s="144"/>
    </row>
    <row r="27" spans="2:9" ht="15">
      <c r="B27" s="107"/>
      <c r="C27" s="136" t="s">
        <v>332</v>
      </c>
      <c r="D27" s="112" t="s">
        <v>248</v>
      </c>
      <c r="E27" s="333" t="str">
        <f>IF('Carbon Contents and HHVs'!D28="","No carbon content provided",'Carbon Contents and HHVs'!D28*44/12)</f>
        <v>No carbon content provided</v>
      </c>
      <c r="F27" s="139">
        <f>IF('Carbon Contents and HHVs'!F28="",EFs_GHGRP!G28,EFs_GHGRP!H28/1000)</f>
        <v>0.026</v>
      </c>
      <c r="G27" s="139">
        <f>IF('Carbon Contents and HHVs'!F28="",EFs_GHGRP!I28,EFs_GHGRP!J28/1000)</f>
        <v>0.031</v>
      </c>
      <c r="H27" s="137" t="str">
        <f>IF('Carbon Contents and HHVs'!F28="",'Carbon Contents and HHVs'!E28,"GJ HHV")</f>
        <v>kL</v>
      </c>
      <c r="I27" s="144"/>
    </row>
    <row r="28" spans="2:9" ht="15">
      <c r="B28" s="107"/>
      <c r="C28" s="136" t="s">
        <v>333</v>
      </c>
      <c r="D28" s="112" t="s">
        <v>248</v>
      </c>
      <c r="E28" s="333" t="str">
        <f>IF('Carbon Contents and HHVs'!D29="","No carbon content provided",'Carbon Contents and HHVs'!D29*44/12)</f>
        <v>No carbon content provided</v>
      </c>
      <c r="F28" s="139">
        <f>IF('Carbon Contents and HHVs'!F29="",EFs_GHGRP!G29,EFs_GHGRP!H29/1000)</f>
        <v>0.12</v>
      </c>
      <c r="G28" s="139">
        <f>IF('Carbon Contents and HHVs'!F29="",EFs_GHGRP!I29,EFs_GHGRP!J29/1000)</f>
        <v>0.064</v>
      </c>
      <c r="H28" s="137" t="str">
        <f>IF('Carbon Contents and HHVs'!F29="",'Carbon Contents and HHVs'!E29,"GJ HHV")</f>
        <v>kL</v>
      </c>
      <c r="I28" s="144"/>
    </row>
    <row r="29" spans="2:9" ht="15">
      <c r="B29" s="107"/>
      <c r="C29" s="136" t="s">
        <v>334</v>
      </c>
      <c r="D29" s="112" t="s">
        <v>248</v>
      </c>
      <c r="E29" s="333" t="str">
        <f>IF('Carbon Contents and HHVs'!D30="","No carbon content provided",'Carbon Contents and HHVs'!D30*44/12)</f>
        <v>No carbon content provided</v>
      </c>
      <c r="F29" s="139">
        <f>IF('Carbon Contents and HHVs'!F30="",EFs_GHGRP!G30,EFs_GHGRP!H30/1000)</f>
        <v>0.057</v>
      </c>
      <c r="G29" s="139">
        <f>IF('Carbon Contents and HHVs'!F30="",EFs_GHGRP!I30,EFs_GHGRP!J30/1000)</f>
        <v>0.064</v>
      </c>
      <c r="H29" s="137" t="str">
        <f>IF('Carbon Contents and HHVs'!F30="",'Carbon Contents and HHVs'!E30,"GJ HHV")</f>
        <v>kL</v>
      </c>
      <c r="I29" s="144"/>
    </row>
    <row r="30" spans="2:9" ht="15">
      <c r="B30" s="107"/>
      <c r="C30" s="136" t="s">
        <v>335</v>
      </c>
      <c r="D30" s="112" t="s">
        <v>248</v>
      </c>
      <c r="E30" s="333" t="str">
        <f>IF('Carbon Contents and HHVs'!D31="","No carbon content provided",'Carbon Contents and HHVs'!D31*44/12)</f>
        <v>No carbon content provided</v>
      </c>
      <c r="F30" s="139">
        <f>IF('Carbon Contents and HHVs'!F31="",EFs_GHGRP!G31,EFs_GHGRP!H31/1000)</f>
        <v>0.006</v>
      </c>
      <c r="G30" s="139">
        <f>IF('Carbon Contents and HHVs'!F31="",EFs_GHGRP!I31,EFs_GHGRP!J31/1000)</f>
        <v>0.031</v>
      </c>
      <c r="H30" s="137" t="str">
        <f>IF('Carbon Contents and HHVs'!F31="",'Carbon Contents and HHVs'!E31,"GJ HHV")</f>
        <v>kL</v>
      </c>
      <c r="I30" s="144"/>
    </row>
    <row r="31" spans="2:12" ht="15">
      <c r="B31" s="107"/>
      <c r="C31" s="136" t="s">
        <v>336</v>
      </c>
      <c r="D31" s="112" t="s">
        <v>248</v>
      </c>
      <c r="E31" s="333" t="str">
        <f>IF('Carbon Contents and HHVs'!D32="","No carbon content provided",'Carbon Contents and HHVs'!D32*44/12)</f>
        <v>No carbon content provided</v>
      </c>
      <c r="F31" s="139">
        <f>IF('Carbon Contents and HHVs'!F32="",EFs_GHGRP!G32,EFs_GHGRP!H32/1000)</f>
        <v>0.026</v>
      </c>
      <c r="G31" s="139">
        <f>IF('Carbon Contents and HHVs'!F32="",EFs_GHGRP!I32,EFs_GHGRP!J32/1000)</f>
        <v>0.031</v>
      </c>
      <c r="H31" s="137" t="str">
        <f>IF('Carbon Contents and HHVs'!F32="",'Carbon Contents and HHVs'!E32,"GJ HHV")</f>
        <v>kL</v>
      </c>
      <c r="I31" s="144"/>
      <c r="K31" s="703" t="s">
        <v>549</v>
      </c>
      <c r="L31" s="703" t="s">
        <v>550</v>
      </c>
    </row>
    <row r="32" spans="2:12" ht="17.25">
      <c r="B32" s="107"/>
      <c r="C32" s="136" t="s">
        <v>337</v>
      </c>
      <c r="D32" s="117" t="s">
        <v>396</v>
      </c>
      <c r="E32" s="333" t="str">
        <f>IF(AND(K32="No",L32="No"),"No carbon content or HHV provided",IF(K32="Yes",'Carbon Contents and HHVs'!D33*44/12,(60.554*'Carbon Contents and HHVs'!F33*1000-404.15)*10^-6*1000))</f>
        <v>No carbon content or HHV provided</v>
      </c>
      <c r="F32" s="139">
        <f>IF('Carbon Contents and HHVs'!F33="",EFs_GHGRP!G33,EFs_GHGRP!H33/1000)</f>
        <v>0.037</v>
      </c>
      <c r="G32" s="139">
        <f>IF('Carbon Contents and HHVs'!F33="",EFs_GHGRP!I33,EFs_GHGRP!J33/1000)</f>
        <v>0.033</v>
      </c>
      <c r="H32" s="137" t="str">
        <f>IF('Carbon Contents and HHVs'!F33="",'Carbon Contents and HHVs'!E33,"GJ HHV")</f>
        <v>m3</v>
      </c>
      <c r="I32" s="144"/>
      <c r="K32" s="703" t="str">
        <f>IF('Carbon Contents and HHVs'!D33="","No","Yes")</f>
        <v>No</v>
      </c>
      <c r="L32" s="703" t="str">
        <f>IF('Carbon Contents and HHVs'!F33="","No","Yes")</f>
        <v>No</v>
      </c>
    </row>
    <row r="33" spans="2:12" ht="17.25">
      <c r="B33" s="107"/>
      <c r="C33" s="136" t="s">
        <v>402</v>
      </c>
      <c r="D33" s="117" t="s">
        <v>396</v>
      </c>
      <c r="E33" s="333" t="str">
        <f>IF(AND(K33="No",L33="No"),"No carbon content or HHV provided",IF(K33="Yes",'Carbon Contents and HHVs'!D34*44/12,(60.554*'Carbon Contents and HHVs'!F34*1000-404.15)*10^-6*1000))</f>
        <v>No carbon content or HHV provided</v>
      </c>
      <c r="F33" s="139">
        <f>IF('Carbon Contents and HHVs'!F34="",EFs_GHGRP!G34,EFs_GHGRP!H34/1000)</f>
        <v>0.037</v>
      </c>
      <c r="G33" s="139">
        <f>IF('Carbon Contents and HHVs'!F34="",EFs_GHGRP!I34,EFs_GHGRP!J34/1000)</f>
        <v>0.033</v>
      </c>
      <c r="H33" s="137" t="str">
        <f>IF('Carbon Contents and HHVs'!F34="",'Carbon Contents and HHVs'!E34,"GJ HHV")</f>
        <v>m3</v>
      </c>
      <c r="I33" s="144"/>
      <c r="K33" s="703" t="str">
        <f>IF('Carbon Contents and HHVs'!D34="","No","Yes")</f>
        <v>No</v>
      </c>
      <c r="L33" s="703" t="str">
        <f>IF('Carbon Contents and HHVs'!F34="","No","Yes")</f>
        <v>No</v>
      </c>
    </row>
    <row r="34" spans="2:12" ht="15" customHeight="1">
      <c r="B34" s="107"/>
      <c r="C34" s="136" t="s">
        <v>338</v>
      </c>
      <c r="D34" s="117" t="s">
        <v>396</v>
      </c>
      <c r="E34" s="333" t="str">
        <f>IF(AND(K34="No",L34="No"),"No carbon content or HHV provided",IF(K34="Yes",'Carbon Contents and HHVs'!D35*44/12,(60.554*'Carbon Contents and HHVs'!F35*1000-404.15)*10^-6*1000))</f>
        <v>No carbon content or HHV provided</v>
      </c>
      <c r="F34" s="139">
        <f>IF('Carbon Contents and HHVs'!F35="",EFs_GHGRP!G35,EFs_GHGRP!H35/1000)</f>
        <v>9</v>
      </c>
      <c r="G34" s="139">
        <f>IF('Carbon Contents and HHVs'!F35="",EFs_GHGRP!I35,EFs_GHGRP!J35/1000)</f>
        <v>0.06</v>
      </c>
      <c r="H34" s="137" t="str">
        <f>IF('Carbon Contents and HHVs'!F35="",'Carbon Contents and HHVs'!E35,"GJ HHV")</f>
        <v>m3</v>
      </c>
      <c r="I34" s="144"/>
      <c r="K34" s="703" t="str">
        <f>IF('Carbon Contents and HHVs'!D35="","No","Yes")</f>
        <v>No</v>
      </c>
      <c r="L34" s="703" t="str">
        <f>IF('Carbon Contents and HHVs'!F35="","No","Yes")</f>
        <v>No</v>
      </c>
    </row>
    <row r="35" spans="2:9" ht="15">
      <c r="B35" s="107"/>
      <c r="C35" s="136" t="s">
        <v>339</v>
      </c>
      <c r="D35" s="117" t="s">
        <v>556</v>
      </c>
      <c r="E35" s="333" t="str">
        <f>IF('Carbon Contents and HHVs'!D36="","No carbon content provided",'Carbon Contents and HHVs'!D36*44/12)</f>
        <v>No carbon content provided</v>
      </c>
      <c r="F35" s="781" t="s">
        <v>295</v>
      </c>
      <c r="G35" s="781"/>
      <c r="H35" s="137" t="str">
        <f>IF('Carbon Contents and HHVs'!F36="",'Carbon Contents and HHVs'!E36,"GJ HHV")</f>
        <v>dry tonne</v>
      </c>
      <c r="I35" s="144"/>
    </row>
    <row r="36" spans="2:9" ht="15">
      <c r="B36" s="107"/>
      <c r="C36" s="136" t="str">
        <f>'Carbon Contents and HHVs'!C37</f>
        <v>Wood fuel/wood waste</v>
      </c>
      <c r="D36" s="117" t="s">
        <v>555</v>
      </c>
      <c r="E36" s="138">
        <f>EFs_GHGRP!E37</f>
        <v>1715</v>
      </c>
      <c r="F36" s="139">
        <f>IF('Carbon Contents and HHVs'!F37="",EFs_GHGRP!G37,EFs_GHGRP!H37/1000)</f>
        <v>0.1</v>
      </c>
      <c r="G36" s="139">
        <f>IF('Carbon Contents and HHVs'!F37="",EFs_GHGRP!I37,EFs_GHGRP!J37/1000)</f>
        <v>0.07</v>
      </c>
      <c r="H36" s="137" t="str">
        <f>IF('Carbon Contents and HHVs'!F37="",'Carbon Contents and HHVs'!E37,"GJ HHV")</f>
        <v>dry tonne</v>
      </c>
      <c r="I36" s="144"/>
    </row>
    <row r="37" spans="2:9" ht="15">
      <c r="B37" s="107"/>
      <c r="C37" s="136" t="str">
        <f>'Carbon Contents and HHVs'!C38</f>
        <v>Spent pulping liquor - softwood</v>
      </c>
      <c r="D37" s="117" t="s">
        <v>555</v>
      </c>
      <c r="E37" s="138">
        <f>EFs_GHGRP!E38</f>
        <v>1270</v>
      </c>
      <c r="F37" s="139">
        <f>IF('Carbon Contents and HHVs'!F38="",EFs_GHGRP!G38,EFs_GHGRP!H38/1000)</f>
        <v>0.029</v>
      </c>
      <c r="G37" s="139">
        <f>IF('Carbon Contents and HHVs'!F38="",EFs_GHGRP!I38,EFs_GHGRP!J38/1000)</f>
        <v>0.005</v>
      </c>
      <c r="H37" s="137" t="str">
        <f>IF('Carbon Contents and HHVs'!F38="",'Carbon Contents and HHVs'!E38,"GJ HHV")</f>
        <v>dry tonne</v>
      </c>
      <c r="I37" s="144"/>
    </row>
    <row r="38" spans="2:9" ht="15">
      <c r="B38" s="107"/>
      <c r="C38" s="136" t="str">
        <f>'Carbon Contents and HHVs'!C39</f>
        <v>Spent pulping liquor - hardwood</v>
      </c>
      <c r="D38" s="117" t="s">
        <v>555</v>
      </c>
      <c r="E38" s="138">
        <f>EFs_GHGRP!E39</f>
        <v>1230</v>
      </c>
      <c r="F38" s="139">
        <f>IF('Carbon Contents and HHVs'!F39="",EFs_GHGRP!G39,EFs_GHGRP!H39/1000)</f>
        <v>0.029</v>
      </c>
      <c r="G38" s="139">
        <f>IF('Carbon Contents and HHVs'!F39="",EFs_GHGRP!I39,EFs_GHGRP!J39/1000)</f>
        <v>0.005</v>
      </c>
      <c r="H38" s="137" t="str">
        <f>IF('Carbon Contents and HHVs'!F39="",'Carbon Contents and HHVs'!E39,"GJ HHV")</f>
        <v>dry tonne</v>
      </c>
      <c r="I38" s="144"/>
    </row>
    <row r="39" spans="2:9" ht="15">
      <c r="B39" s="107"/>
      <c r="C39" s="136" t="str">
        <f>'Carbon Contents and HHVs'!C40</f>
        <v>Spent pulping liquor - straw</v>
      </c>
      <c r="D39" s="117" t="s">
        <v>555</v>
      </c>
      <c r="E39" s="138">
        <f>EFs_GHGRP!E40</f>
        <v>1320</v>
      </c>
      <c r="F39" s="139">
        <f>IF('Carbon Contents and HHVs'!F40="",EFs_GHGRP!G40,EFs_GHGRP!H40/1000)</f>
        <v>0.029</v>
      </c>
      <c r="G39" s="139">
        <f>IF('Carbon Contents and HHVs'!F40="",EFs_GHGRP!I40,EFs_GHGRP!J40/1000)</f>
        <v>0.005</v>
      </c>
      <c r="H39" s="137" t="str">
        <f>IF('Carbon Contents and HHVs'!F40="",'Carbon Contents and HHVs'!E40,"GJ HHV")</f>
        <v>dry tonne</v>
      </c>
      <c r="I39" s="144"/>
    </row>
    <row r="40" spans="2:9" ht="15">
      <c r="B40" s="107"/>
      <c r="C40" s="136" t="str">
        <f>'Carbon Contents and HHVs'!C41</f>
        <v>Wastewater residuals</v>
      </c>
      <c r="D40" s="117" t="s">
        <v>555</v>
      </c>
      <c r="E40" s="138">
        <f>IF('Carbon Contents and HHVs'!D41="",'Emission Factors'!E36,'Carbon Contents and HHVs'!D41*44/12)</f>
        <v>1715</v>
      </c>
      <c r="F40" s="138">
        <f>EFs_GHGRP!G37</f>
        <v>0.1</v>
      </c>
      <c r="G40" s="138">
        <f>EFs_GHGRP!I37</f>
        <v>0.07</v>
      </c>
      <c r="H40" s="137" t="s">
        <v>555</v>
      </c>
      <c r="I40" s="144"/>
    </row>
    <row r="41" spans="2:9" ht="67.5" customHeight="1">
      <c r="B41" s="107"/>
      <c r="C41" s="136" t="s">
        <v>277</v>
      </c>
      <c r="D41" s="117" t="s">
        <v>555</v>
      </c>
      <c r="E41" s="777" t="s">
        <v>400</v>
      </c>
      <c r="F41" s="777"/>
      <c r="G41" s="777"/>
      <c r="H41" s="137" t="s">
        <v>555</v>
      </c>
      <c r="I41" s="144"/>
    </row>
    <row r="42" spans="2:9" ht="18">
      <c r="B42" s="107"/>
      <c r="C42" s="778" t="s">
        <v>401</v>
      </c>
      <c r="D42" s="779"/>
      <c r="E42" s="779"/>
      <c r="F42" s="779"/>
      <c r="G42" s="779"/>
      <c r="H42" s="780"/>
      <c r="I42" s="144"/>
    </row>
    <row r="43" spans="2:9" ht="15.75" thickBot="1">
      <c r="B43" s="145"/>
      <c r="C43" s="146"/>
      <c r="D43" s="146"/>
      <c r="E43" s="146"/>
      <c r="F43" s="147"/>
      <c r="G43" s="147"/>
      <c r="H43" s="147"/>
      <c r="I43" s="148"/>
    </row>
    <row r="44" ht="15.75" thickTop="1"/>
  </sheetData>
  <sheetProtection password="CD08" sheet="1"/>
  <mergeCells count="7">
    <mergeCell ref="B2:H2"/>
    <mergeCell ref="E41:G41"/>
    <mergeCell ref="C42:H42"/>
    <mergeCell ref="C6:C7"/>
    <mergeCell ref="D6:D7"/>
    <mergeCell ref="F35:G35"/>
    <mergeCell ref="H6:H7"/>
  </mergeCells>
  <printOptions horizontalCentered="1" verticalCentered="1"/>
  <pageMargins left="0.75" right="0.75" top="0.27" bottom="0.42" header="0.19" footer="0.33"/>
  <pageSetup fitToHeight="3" fitToWidth="1" horizontalDpi="600" verticalDpi="600" orientation="portrait" scale="71" r:id="rId1"/>
  <headerFooter alignWithMargins="0">
    <oddHeader>&amp;L&amp;D&amp;R&amp;F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W47"/>
  <sheetViews>
    <sheetView zoomScaleSheetLayoutView="55" zoomScalePageLayoutView="0" workbookViewId="0" topLeftCell="A10">
      <selection activeCell="O18" sqref="O18"/>
    </sheetView>
  </sheetViews>
  <sheetFormatPr defaultColWidth="9.7109375" defaultRowHeight="12.75"/>
  <cols>
    <col min="1" max="2" width="3.57421875" style="119" customWidth="1"/>
    <col min="3" max="3" width="52.421875" style="119" customWidth="1"/>
    <col min="4" max="4" width="13.7109375" style="119" customWidth="1"/>
    <col min="5" max="5" width="9.8515625" style="119" customWidth="1"/>
    <col min="6" max="6" width="11.421875" style="119" bestFit="1" customWidth="1"/>
    <col min="7" max="7" width="12.57421875" style="119" hidden="1" customWidth="1"/>
    <col min="8" max="8" width="7.28125" style="119" hidden="1" customWidth="1"/>
    <col min="9" max="9" width="20.00390625" style="121" customWidth="1"/>
    <col min="10" max="10" width="12.00390625" style="121" customWidth="1"/>
    <col min="11" max="11" width="11.57421875" style="119" customWidth="1"/>
    <col min="12" max="12" width="14.8515625" style="119" customWidth="1"/>
    <col min="13" max="13" width="12.57421875" style="119" customWidth="1"/>
    <col min="14" max="14" width="13.57421875" style="119" customWidth="1"/>
    <col min="15" max="15" width="14.8515625" style="119" customWidth="1"/>
    <col min="16" max="16" width="3.57421875" style="119" customWidth="1"/>
    <col min="17" max="17" width="17.28125" style="119" customWidth="1"/>
    <col min="18" max="18" width="19.140625" style="119" customWidth="1"/>
    <col min="19" max="19" width="16.8515625" style="119" customWidth="1"/>
    <col min="20" max="20" width="19.140625" style="119" customWidth="1"/>
    <col min="21" max="21" width="17.57421875" style="119" customWidth="1"/>
    <col min="22" max="22" width="15.8515625" style="119" customWidth="1"/>
    <col min="23" max="23" width="16.8515625" style="119" customWidth="1"/>
    <col min="24" max="24" width="5.421875" style="119" customWidth="1"/>
    <col min="25" max="16384" width="9.7109375" style="119" customWidth="1"/>
  </cols>
  <sheetData>
    <row r="1" spans="2:8" ht="27.75" customHeight="1">
      <c r="B1" s="157" t="s">
        <v>403</v>
      </c>
      <c r="D1" s="120"/>
      <c r="E1" s="122"/>
      <c r="F1" s="122"/>
      <c r="G1" s="122"/>
      <c r="H1" s="122"/>
    </row>
    <row r="2" spans="2:15" ht="21" customHeight="1">
      <c r="B2" s="776" t="s">
        <v>459</v>
      </c>
      <c r="C2" s="776"/>
      <c r="D2" s="776"/>
      <c r="E2" s="776"/>
      <c r="F2" s="776"/>
      <c r="G2" s="776"/>
      <c r="H2" s="776"/>
      <c r="I2" s="776"/>
      <c r="J2" s="776"/>
      <c r="K2" s="776"/>
      <c r="L2" s="776"/>
      <c r="M2" s="776"/>
      <c r="N2" s="776"/>
      <c r="O2" s="776"/>
    </row>
    <row r="3" spans="2:8" ht="23.25">
      <c r="B3" s="157"/>
      <c r="D3" s="120"/>
      <c r="E3" s="122"/>
      <c r="F3" s="122"/>
      <c r="G3" s="122"/>
      <c r="H3" s="122"/>
    </row>
    <row r="4" spans="2:8" ht="21.75" customHeight="1">
      <c r="B4" s="158" t="s">
        <v>296</v>
      </c>
      <c r="D4" s="120"/>
      <c r="E4" s="122"/>
      <c r="F4" s="122"/>
      <c r="G4" s="122"/>
      <c r="H4" s="122"/>
    </row>
    <row r="5" spans="1:15" ht="39.75" customHeight="1">
      <c r="A5" s="159"/>
      <c r="B5" s="369" t="s">
        <v>457</v>
      </c>
      <c r="C5" s="804" t="s">
        <v>405</v>
      </c>
      <c r="D5" s="804"/>
      <c r="E5" s="804"/>
      <c r="F5" s="804"/>
      <c r="G5" s="804"/>
      <c r="H5" s="804"/>
      <c r="I5" s="804"/>
      <c r="J5" s="804"/>
      <c r="K5" s="804"/>
      <c r="L5" s="804"/>
      <c r="M5" s="804"/>
      <c r="N5" s="804"/>
      <c r="O5" s="804"/>
    </row>
    <row r="6" spans="1:15" ht="18" customHeight="1">
      <c r="A6" s="159"/>
      <c r="B6" s="369" t="s">
        <v>457</v>
      </c>
      <c r="C6" s="804" t="s">
        <v>404</v>
      </c>
      <c r="D6" s="804"/>
      <c r="E6" s="804"/>
      <c r="F6" s="804"/>
      <c r="G6" s="804"/>
      <c r="H6" s="804"/>
      <c r="I6" s="804"/>
      <c r="J6" s="804"/>
      <c r="K6" s="804"/>
      <c r="L6" s="804"/>
      <c r="M6" s="804"/>
      <c r="N6" s="804"/>
      <c r="O6" s="804"/>
    </row>
    <row r="7" spans="1:15" ht="42.75" customHeight="1">
      <c r="A7" s="159"/>
      <c r="B7" s="369" t="s">
        <v>457</v>
      </c>
      <c r="C7" s="804" t="s">
        <v>406</v>
      </c>
      <c r="D7" s="804"/>
      <c r="E7" s="804"/>
      <c r="F7" s="804"/>
      <c r="G7" s="804"/>
      <c r="H7" s="804"/>
      <c r="I7" s="804"/>
      <c r="J7" s="804"/>
      <c r="K7" s="804"/>
      <c r="L7" s="804"/>
      <c r="M7" s="804"/>
      <c r="N7" s="804"/>
      <c r="O7" s="804"/>
    </row>
    <row r="8" spans="1:11" ht="13.5" customHeight="1" thickBot="1">
      <c r="A8" s="122"/>
      <c r="C8" s="129"/>
      <c r="D8" s="129"/>
      <c r="K8" s="126"/>
    </row>
    <row r="9" spans="1:11" ht="22.5" customHeight="1" thickTop="1">
      <c r="A9" s="122"/>
      <c r="B9" s="160" t="s">
        <v>24</v>
      </c>
      <c r="C9" s="161"/>
      <c r="D9" s="161"/>
      <c r="E9" s="162"/>
      <c r="F9" s="150"/>
      <c r="G9" s="151"/>
      <c r="H9" s="151"/>
      <c r="I9" s="125"/>
      <c r="J9" s="125"/>
      <c r="K9" s="126"/>
    </row>
    <row r="10" spans="1:11" ht="18" customHeight="1">
      <c r="A10" s="122"/>
      <c r="B10" s="784" t="s">
        <v>294</v>
      </c>
      <c r="C10" s="785"/>
      <c r="D10" s="167"/>
      <c r="E10" s="163"/>
      <c r="F10" s="153"/>
      <c r="G10" s="154"/>
      <c r="H10" s="154"/>
      <c r="I10" s="125"/>
      <c r="J10" s="125"/>
      <c r="K10" s="126"/>
    </row>
    <row r="11" spans="1:11" ht="18" customHeight="1">
      <c r="A11" s="122"/>
      <c r="B11" s="784" t="s">
        <v>352</v>
      </c>
      <c r="C11" s="785"/>
      <c r="D11" s="416"/>
      <c r="E11" s="163"/>
      <c r="F11" s="155"/>
      <c r="G11" s="124"/>
      <c r="H11" s="124"/>
      <c r="I11" s="125"/>
      <c r="J11" s="125"/>
      <c r="K11" s="126"/>
    </row>
    <row r="12" spans="2:21" ht="18" customHeight="1" thickBot="1">
      <c r="B12" s="164"/>
      <c r="C12" s="165"/>
      <c r="D12" s="165"/>
      <c r="E12" s="166"/>
      <c r="F12" s="156"/>
      <c r="G12" s="123"/>
      <c r="H12" s="123"/>
      <c r="I12" s="124"/>
      <c r="J12" s="125"/>
      <c r="K12" s="126"/>
      <c r="L12" s="126"/>
      <c r="M12" s="126"/>
      <c r="N12" s="126"/>
      <c r="O12" s="126"/>
      <c r="P12" s="126"/>
      <c r="Q12" s="126"/>
      <c r="R12" s="126"/>
      <c r="S12" s="126"/>
      <c r="T12" s="126"/>
      <c r="U12" s="126"/>
    </row>
    <row r="13" spans="2:21" ht="18" customHeight="1" thickBot="1" thickTop="1">
      <c r="B13" s="123"/>
      <c r="C13" s="123"/>
      <c r="D13" s="123"/>
      <c r="E13" s="123"/>
      <c r="F13" s="123"/>
      <c r="G13" s="123"/>
      <c r="H13" s="123"/>
      <c r="I13" s="124"/>
      <c r="J13" s="125"/>
      <c r="K13" s="126"/>
      <c r="L13" s="126"/>
      <c r="M13" s="126"/>
      <c r="N13" s="126"/>
      <c r="O13" s="126"/>
      <c r="P13" s="126"/>
      <c r="Q13" s="126"/>
      <c r="R13" s="126"/>
      <c r="S13" s="126"/>
      <c r="T13" s="126"/>
      <c r="U13" s="126"/>
    </row>
    <row r="14" spans="2:21" ht="18" customHeight="1" thickTop="1">
      <c r="B14" s="140"/>
      <c r="C14" s="94"/>
      <c r="D14" s="94"/>
      <c r="E14" s="308"/>
      <c r="F14" s="308"/>
      <c r="G14" s="308"/>
      <c r="H14" s="308"/>
      <c r="I14" s="308"/>
      <c r="J14" s="94"/>
      <c r="K14" s="94"/>
      <c r="L14" s="94"/>
      <c r="M14" s="94"/>
      <c r="N14" s="94"/>
      <c r="O14" s="94"/>
      <c r="P14" s="95"/>
      <c r="Q14" s="126"/>
      <c r="R14" s="126"/>
      <c r="S14" s="126"/>
      <c r="T14" s="126"/>
      <c r="U14" s="126"/>
    </row>
    <row r="15" spans="2:21" ht="18" customHeight="1">
      <c r="B15" s="96"/>
      <c r="C15" s="790" t="s">
        <v>240</v>
      </c>
      <c r="D15" s="807" t="s">
        <v>302</v>
      </c>
      <c r="E15" s="807"/>
      <c r="F15" s="795" t="s">
        <v>407</v>
      </c>
      <c r="G15" s="798" t="s">
        <v>237</v>
      </c>
      <c r="H15" s="799"/>
      <c r="I15" s="805" t="s">
        <v>300</v>
      </c>
      <c r="J15" s="806"/>
      <c r="K15" s="806"/>
      <c r="L15" s="805" t="s">
        <v>287</v>
      </c>
      <c r="M15" s="806"/>
      <c r="N15" s="806"/>
      <c r="O15" s="806"/>
      <c r="P15" s="315"/>
      <c r="Q15" s="126"/>
      <c r="R15" s="126"/>
      <c r="S15" s="126"/>
      <c r="T15" s="126"/>
      <c r="U15" s="126"/>
    </row>
    <row r="16" spans="2:21" ht="18">
      <c r="B16" s="309"/>
      <c r="C16" s="791"/>
      <c r="D16" s="792" t="s">
        <v>408</v>
      </c>
      <c r="E16" s="794" t="s">
        <v>282</v>
      </c>
      <c r="F16" s="796"/>
      <c r="G16" s="800" t="s">
        <v>288</v>
      </c>
      <c r="H16" s="788" t="s">
        <v>289</v>
      </c>
      <c r="I16" s="168" t="s">
        <v>409</v>
      </c>
      <c r="J16" s="168" t="s">
        <v>398</v>
      </c>
      <c r="K16" s="168" t="s">
        <v>399</v>
      </c>
      <c r="L16" s="169" t="s">
        <v>397</v>
      </c>
      <c r="M16" s="170" t="s">
        <v>398</v>
      </c>
      <c r="N16" s="170" t="s">
        <v>399</v>
      </c>
      <c r="O16" s="171" t="s">
        <v>299</v>
      </c>
      <c r="P16" s="316"/>
      <c r="Q16" s="126"/>
      <c r="R16" s="126"/>
      <c r="S16" s="126"/>
      <c r="T16" s="126"/>
      <c r="U16" s="126"/>
    </row>
    <row r="17" spans="2:21" ht="50.25" customHeight="1">
      <c r="B17" s="96"/>
      <c r="C17" s="177" t="s">
        <v>301</v>
      </c>
      <c r="D17" s="793"/>
      <c r="E17" s="794"/>
      <c r="F17" s="797"/>
      <c r="G17" s="800"/>
      <c r="H17" s="789"/>
      <c r="I17" s="172" t="s">
        <v>410</v>
      </c>
      <c r="J17" s="172" t="s">
        <v>411</v>
      </c>
      <c r="K17" s="172" t="s">
        <v>412</v>
      </c>
      <c r="L17" s="169" t="s">
        <v>413</v>
      </c>
      <c r="M17" s="169" t="s">
        <v>414</v>
      </c>
      <c r="N17" s="169" t="s">
        <v>415</v>
      </c>
      <c r="O17" s="171" t="s">
        <v>420</v>
      </c>
      <c r="P17" s="316"/>
      <c r="Q17" s="126"/>
      <c r="R17" s="126"/>
      <c r="S17" s="126"/>
      <c r="T17" s="126"/>
      <c r="U17" s="126"/>
    </row>
    <row r="18" spans="2:21" ht="30.75">
      <c r="B18" s="96"/>
      <c r="C18" s="173" t="s">
        <v>246</v>
      </c>
      <c r="D18" s="178"/>
      <c r="E18" s="174" t="str">
        <f>'Emission Factors'!D8</f>
        <v>kL</v>
      </c>
      <c r="F18" s="174" t="str">
        <f>'Emission Factors'!H8</f>
        <v>kL</v>
      </c>
      <c r="G18" s="174" t="str">
        <f>IF('Carbon Contents and HHVs'!F9="","HHV not provided",'Carbon Contents and HHVs'!F9)</f>
        <v>HHV not provided</v>
      </c>
      <c r="H18" s="174" t="str">
        <f>IF(G18="HHV not provided","N/Av",D18*G18)</f>
        <v>N/Av</v>
      </c>
      <c r="I18" s="175">
        <f>'Emission Factors'!E8</f>
        <v>986</v>
      </c>
      <c r="J18" s="722">
        <f>'Emission Factors'!F8</f>
        <v>0.024</v>
      </c>
      <c r="K18" s="722">
        <f>'Emission Factors'!G8</f>
        <v>0.108</v>
      </c>
      <c r="L18" s="417">
        <f>_xlfn.IFERROR(I18*D18/1000,0)</f>
        <v>0</v>
      </c>
      <c r="M18" s="433">
        <f>_xlfn.IFERROR(IF(H18="N/Av",$D18*J18/1000,$H18*J18/1000),0)</f>
        <v>0</v>
      </c>
      <c r="N18" s="433">
        <f>_xlfn.IFERROR(IF(H18="N/Av",$D18*K18/1000,$H18*K18/1000),0)</f>
        <v>0</v>
      </c>
      <c r="O18" s="419">
        <f aca="true" t="shared" si="0" ref="O18:O41">_xlfn.IFERROR(L18+M18*GWPCH4+N18*GWPN2O,0)</f>
        <v>0</v>
      </c>
      <c r="P18" s="317"/>
      <c r="Q18" s="126"/>
      <c r="R18" s="126"/>
      <c r="S18" s="126"/>
      <c r="T18" s="126"/>
      <c r="U18" s="126"/>
    </row>
    <row r="19" spans="2:21" ht="30.75">
      <c r="B19" s="96"/>
      <c r="C19" s="173" t="s">
        <v>256</v>
      </c>
      <c r="D19" s="178"/>
      <c r="E19" s="174" t="str">
        <f>'Emission Factors'!D9</f>
        <v>kL</v>
      </c>
      <c r="F19" s="174" t="str">
        <f>'Emission Factors'!H9</f>
        <v>kL</v>
      </c>
      <c r="G19" s="174" t="str">
        <f>IF('Carbon Contents and HHVs'!F10="","HHV not provided",'Carbon Contents and HHVs'!F10)</f>
        <v>HHV not provided</v>
      </c>
      <c r="H19" s="174" t="str">
        <f aca="true" t="shared" si="1" ref="H19:H40">IF(G19="HHV not provided","N/Av",D19*G19)</f>
        <v>N/Av</v>
      </c>
      <c r="I19" s="175">
        <f>'Emission Factors'!E9</f>
        <v>1515</v>
      </c>
      <c r="J19" s="722">
        <f>'Emission Factors'!F9</f>
        <v>0.024</v>
      </c>
      <c r="K19" s="722">
        <f>'Emission Factors'!G9</f>
        <v>0.108</v>
      </c>
      <c r="L19" s="417">
        <f aca="true" t="shared" si="2" ref="L19:L41">_xlfn.IFERROR(I19*D19/1000,0)</f>
        <v>0</v>
      </c>
      <c r="M19" s="433">
        <f aca="true" t="shared" si="3" ref="M19:M41">_xlfn.IFERROR(IF(H19="N/Av",$D19*J19/1000,$H19*J19/1000),0)</f>
        <v>0</v>
      </c>
      <c r="N19" s="433">
        <f aca="true" t="shared" si="4" ref="N19:N41">_xlfn.IFERROR(IF(H19="N/Av",$D19*K19/1000,$H19*K19/1000),0)</f>
        <v>0</v>
      </c>
      <c r="O19" s="419">
        <f t="shared" si="0"/>
        <v>0</v>
      </c>
      <c r="P19" s="317"/>
      <c r="Q19" s="126"/>
      <c r="R19" s="126"/>
      <c r="S19" s="126"/>
      <c r="T19" s="126"/>
      <c r="U19" s="126"/>
    </row>
    <row r="20" spans="2:21" ht="30.75">
      <c r="B20" s="96"/>
      <c r="C20" s="173" t="s">
        <v>56</v>
      </c>
      <c r="D20" s="178"/>
      <c r="E20" s="174" t="str">
        <f>'Emission Factors'!D11</f>
        <v>kL</v>
      </c>
      <c r="F20" s="174" t="str">
        <f>'Emission Factors'!H11</f>
        <v>kL</v>
      </c>
      <c r="G20" s="174" t="str">
        <f>IF('Carbon Contents and HHVs'!F12="","HHV not provided",'Carbon Contents and HHVs'!F12)</f>
        <v>HHV not provided</v>
      </c>
      <c r="H20" s="174" t="str">
        <f t="shared" si="1"/>
        <v>N/Av</v>
      </c>
      <c r="I20" s="175">
        <f>'Emission Factors'!E11</f>
        <v>1747</v>
      </c>
      <c r="J20" s="722">
        <f>'Emission Factors'!F11</f>
        <v>0.024</v>
      </c>
      <c r="K20" s="722">
        <f>'Emission Factors'!G11</f>
        <v>0.108</v>
      </c>
      <c r="L20" s="417">
        <f t="shared" si="2"/>
        <v>0</v>
      </c>
      <c r="M20" s="433">
        <f t="shared" si="3"/>
        <v>0</v>
      </c>
      <c r="N20" s="433">
        <f t="shared" si="4"/>
        <v>0</v>
      </c>
      <c r="O20" s="419">
        <f t="shared" si="0"/>
        <v>0</v>
      </c>
      <c r="P20" s="317"/>
      <c r="Q20" s="126"/>
      <c r="R20" s="126"/>
      <c r="S20" s="126"/>
      <c r="T20" s="126"/>
      <c r="U20" s="126"/>
    </row>
    <row r="21" spans="2:21" ht="30.75">
      <c r="B21" s="96"/>
      <c r="C21" s="173" t="s">
        <v>258</v>
      </c>
      <c r="D21" s="178"/>
      <c r="E21" s="174" t="str">
        <f>'Emission Factors'!D12</f>
        <v>kL</v>
      </c>
      <c r="F21" s="174" t="str">
        <f>'Emission Factors'!H12</f>
        <v>kL</v>
      </c>
      <c r="G21" s="174" t="str">
        <f>IF('Carbon Contents and HHVs'!F13="","HHV not provided",'Carbon Contents and HHVs'!F13)</f>
        <v>HHV not provided</v>
      </c>
      <c r="H21" s="174" t="str">
        <f t="shared" si="1"/>
        <v>N/Av</v>
      </c>
      <c r="I21" s="175">
        <f>'Emission Factors'!E12</f>
        <v>2681</v>
      </c>
      <c r="J21" s="722">
        <f>'Emission Factors'!F12</f>
        <v>0.078</v>
      </c>
      <c r="K21" s="722">
        <f>'Emission Factors'!G12</f>
        <v>0.02</v>
      </c>
      <c r="L21" s="417">
        <f t="shared" si="2"/>
        <v>0</v>
      </c>
      <c r="M21" s="433">
        <f t="shared" si="3"/>
        <v>0</v>
      </c>
      <c r="N21" s="433">
        <f t="shared" si="4"/>
        <v>0</v>
      </c>
      <c r="O21" s="419">
        <f t="shared" si="0"/>
        <v>0</v>
      </c>
      <c r="P21" s="317"/>
      <c r="Q21" s="126"/>
      <c r="R21" s="126"/>
      <c r="S21" s="126"/>
      <c r="T21" s="126"/>
      <c r="U21" s="126"/>
    </row>
    <row r="22" spans="2:21" ht="30.75">
      <c r="B22" s="96"/>
      <c r="C22" s="173" t="s">
        <v>262</v>
      </c>
      <c r="D22" s="178"/>
      <c r="E22" s="174" t="str">
        <f>'Emission Factors'!D16</f>
        <v>kL</v>
      </c>
      <c r="F22" s="174" t="str">
        <f>'Emission Factors'!H16</f>
        <v>kL</v>
      </c>
      <c r="G22" s="174" t="str">
        <f>IF('Carbon Contents and HHVs'!F17="","HHV not provided",'Carbon Contents and HHVs'!F17)</f>
        <v>HHV not provided</v>
      </c>
      <c r="H22" s="174" t="str">
        <f t="shared" si="1"/>
        <v>N/Av</v>
      </c>
      <c r="I22" s="175">
        <f>'Emission Factors'!E16</f>
        <v>2307</v>
      </c>
      <c r="J22" s="722">
        <f>'Emission Factors'!F16</f>
        <v>0.1</v>
      </c>
      <c r="K22" s="722">
        <f>'Emission Factors'!G16</f>
        <v>0.02</v>
      </c>
      <c r="L22" s="417">
        <f t="shared" si="2"/>
        <v>0</v>
      </c>
      <c r="M22" s="433">
        <f t="shared" si="3"/>
        <v>0</v>
      </c>
      <c r="N22" s="433">
        <f t="shared" si="4"/>
        <v>0</v>
      </c>
      <c r="O22" s="419">
        <f t="shared" si="0"/>
        <v>0</v>
      </c>
      <c r="P22" s="317"/>
      <c r="Q22" s="126"/>
      <c r="R22" s="126"/>
      <c r="S22" s="126"/>
      <c r="T22" s="126"/>
      <c r="U22" s="126"/>
    </row>
    <row r="23" spans="2:21" ht="30.75">
      <c r="B23" s="96"/>
      <c r="C23" s="173" t="s">
        <v>285</v>
      </c>
      <c r="D23" s="178"/>
      <c r="E23" s="174" t="str">
        <f>'Emission Factors'!D19</f>
        <v>kL</v>
      </c>
      <c r="F23" s="174" t="str">
        <f>'Emission Factors'!H19</f>
        <v>kL</v>
      </c>
      <c r="G23" s="174" t="str">
        <f>IF('Carbon Contents and HHVs'!F20="","HHV not provided",'Carbon Contents and HHVs'!F20)</f>
        <v>HHV not provided</v>
      </c>
      <c r="H23" s="174" t="str">
        <f t="shared" si="1"/>
        <v>N/Av</v>
      </c>
      <c r="I23" s="175">
        <v>0</v>
      </c>
      <c r="J23" s="722">
        <f>'Emission Factors'!F19</f>
        <v>0.1</v>
      </c>
      <c r="K23" s="722">
        <f>'Emission Factors'!G19</f>
        <v>0.02</v>
      </c>
      <c r="L23" s="417">
        <f t="shared" si="2"/>
        <v>0</v>
      </c>
      <c r="M23" s="433">
        <f t="shared" si="3"/>
        <v>0</v>
      </c>
      <c r="N23" s="433">
        <f t="shared" si="4"/>
        <v>0</v>
      </c>
      <c r="O23" s="419">
        <f t="shared" si="0"/>
        <v>0</v>
      </c>
      <c r="P23" s="317"/>
      <c r="Q23" s="126"/>
      <c r="R23" s="126"/>
      <c r="S23" s="126"/>
      <c r="T23" s="126"/>
      <c r="U23" s="126"/>
    </row>
    <row r="24" spans="2:23" ht="30.75">
      <c r="B24" s="96"/>
      <c r="C24" s="173" t="s">
        <v>286</v>
      </c>
      <c r="D24" s="179"/>
      <c r="E24" s="174" t="str">
        <f>'Emission Factors'!D22</f>
        <v>kL</v>
      </c>
      <c r="F24" s="174" t="str">
        <f>'Emission Factors'!H22</f>
        <v>kL</v>
      </c>
      <c r="G24" s="174" t="str">
        <f>IF('Carbon Contents and HHVs'!F23="","HHV not provided",'Carbon Contents and HHVs'!F23)</f>
        <v>HHV not provided</v>
      </c>
      <c r="H24" s="174" t="str">
        <f t="shared" si="1"/>
        <v>N/Av</v>
      </c>
      <c r="I24" s="175">
        <v>0</v>
      </c>
      <c r="J24" s="722">
        <f>'Emission Factors'!F22</f>
        <v>0.078</v>
      </c>
      <c r="K24" s="722">
        <f>'Emission Factors'!G22</f>
        <v>0.02</v>
      </c>
      <c r="L24" s="417">
        <f t="shared" si="2"/>
        <v>0</v>
      </c>
      <c r="M24" s="433">
        <f t="shared" si="3"/>
        <v>0</v>
      </c>
      <c r="N24" s="433">
        <f t="shared" si="4"/>
        <v>0</v>
      </c>
      <c r="O24" s="419">
        <f t="shared" si="0"/>
        <v>0</v>
      </c>
      <c r="P24" s="317"/>
      <c r="Q24" s="126"/>
      <c r="R24" s="126"/>
      <c r="S24" s="126"/>
      <c r="T24" s="126"/>
      <c r="U24" s="126"/>
      <c r="V24" s="126"/>
      <c r="W24" s="126"/>
    </row>
    <row r="25" spans="2:23" ht="30.75">
      <c r="B25" s="96"/>
      <c r="C25" s="173" t="s">
        <v>363</v>
      </c>
      <c r="D25" s="179"/>
      <c r="E25" s="174" t="str">
        <f>'Emission Factors'!D26</f>
        <v>kL</v>
      </c>
      <c r="F25" s="174" t="str">
        <f>'Emission Factors'!H26</f>
        <v>kL</v>
      </c>
      <c r="G25" s="174" t="str">
        <f>IF('Carbon Contents and HHVs'!F27="","HHV not provided",'Carbon Contents and HHVs'!F27)</f>
        <v>HHV not provided</v>
      </c>
      <c r="H25" s="174" t="str">
        <f t="shared" si="1"/>
        <v>N/Av</v>
      </c>
      <c r="I25" s="174" t="str">
        <f>'Emission Factors'!E26</f>
        <v>No carbon content provided</v>
      </c>
      <c r="J25" s="722">
        <f>'Emission Factors'!F26</f>
        <v>0.006</v>
      </c>
      <c r="K25" s="722">
        <f>'Emission Factors'!G26</f>
        <v>0.031</v>
      </c>
      <c r="L25" s="417">
        <f t="shared" si="2"/>
        <v>0</v>
      </c>
      <c r="M25" s="433">
        <f t="shared" si="3"/>
        <v>0</v>
      </c>
      <c r="N25" s="433">
        <f t="shared" si="4"/>
        <v>0</v>
      </c>
      <c r="O25" s="419">
        <f t="shared" si="0"/>
        <v>0</v>
      </c>
      <c r="P25" s="317"/>
      <c r="Q25" s="126"/>
      <c r="R25" s="126"/>
      <c r="S25" s="126"/>
      <c r="T25" s="126"/>
      <c r="U25" s="126"/>
      <c r="V25" s="126"/>
      <c r="W25" s="126"/>
    </row>
    <row r="26" spans="2:23" ht="30.75">
      <c r="B26" s="96"/>
      <c r="C26" s="173" t="s">
        <v>362</v>
      </c>
      <c r="D26" s="179"/>
      <c r="E26" s="174" t="str">
        <f aca="true" t="shared" si="5" ref="E26:K26">E25</f>
        <v>kL</v>
      </c>
      <c r="F26" s="174" t="str">
        <f t="shared" si="5"/>
        <v>kL</v>
      </c>
      <c r="G26" s="174" t="str">
        <f t="shared" si="5"/>
        <v>HHV not provided</v>
      </c>
      <c r="H26" s="174" t="str">
        <f t="shared" si="1"/>
        <v>N/Av</v>
      </c>
      <c r="I26" s="174" t="str">
        <f t="shared" si="5"/>
        <v>No carbon content provided</v>
      </c>
      <c r="J26" s="722">
        <f t="shared" si="5"/>
        <v>0.006</v>
      </c>
      <c r="K26" s="722">
        <f t="shared" si="5"/>
        <v>0.031</v>
      </c>
      <c r="L26" s="417">
        <f>_xlfn.IFERROR(I26*D26/1000,0)</f>
        <v>0</v>
      </c>
      <c r="M26" s="433">
        <f t="shared" si="3"/>
        <v>0</v>
      </c>
      <c r="N26" s="433">
        <f t="shared" si="4"/>
        <v>0</v>
      </c>
      <c r="O26" s="419">
        <f>_xlfn.IFERROR(L26+M26*GWPCH4+N26*GWPN2O,0)</f>
        <v>0</v>
      </c>
      <c r="P26" s="317"/>
      <c r="Q26" s="126"/>
      <c r="R26" s="126"/>
      <c r="S26" s="126"/>
      <c r="T26" s="126"/>
      <c r="U26" s="126"/>
      <c r="V26" s="126"/>
      <c r="W26" s="126"/>
    </row>
    <row r="27" spans="2:23" ht="30.75">
      <c r="B27" s="96"/>
      <c r="C27" s="173" t="s">
        <v>268</v>
      </c>
      <c r="D27" s="179"/>
      <c r="E27" s="174" t="str">
        <f>'Emission Factors'!D27</f>
        <v>kL</v>
      </c>
      <c r="F27" s="174" t="str">
        <f>'Emission Factors'!H27</f>
        <v>kL</v>
      </c>
      <c r="G27" s="174" t="str">
        <f>IF('Carbon Contents and HHVs'!F28="","HHV not provided",'Carbon Contents and HHVs'!F28)</f>
        <v>HHV not provided</v>
      </c>
      <c r="H27" s="174" t="str">
        <f t="shared" si="1"/>
        <v>N/Av</v>
      </c>
      <c r="I27" s="174" t="str">
        <f>'Emission Factors'!E27</f>
        <v>No carbon content provided</v>
      </c>
      <c r="J27" s="722">
        <f>'Emission Factors'!F27</f>
        <v>0.026</v>
      </c>
      <c r="K27" s="722">
        <f>'Emission Factors'!G27</f>
        <v>0.031</v>
      </c>
      <c r="L27" s="417">
        <f t="shared" si="2"/>
        <v>0</v>
      </c>
      <c r="M27" s="433">
        <f t="shared" si="3"/>
        <v>0</v>
      </c>
      <c r="N27" s="433">
        <f t="shared" si="4"/>
        <v>0</v>
      </c>
      <c r="O27" s="419">
        <f t="shared" si="0"/>
        <v>0</v>
      </c>
      <c r="P27" s="317"/>
      <c r="Q27" s="126"/>
      <c r="R27" s="126"/>
      <c r="S27" s="126"/>
      <c r="T27" s="126"/>
      <c r="U27" s="126"/>
      <c r="V27" s="126"/>
      <c r="W27" s="126"/>
    </row>
    <row r="28" spans="2:23" ht="30.75">
      <c r="B28" s="96"/>
      <c r="C28" s="173" t="s">
        <v>364</v>
      </c>
      <c r="D28" s="179"/>
      <c r="E28" s="174" t="str">
        <f>'Emission Factors'!D28</f>
        <v>kL</v>
      </c>
      <c r="F28" s="174" t="str">
        <f>'Emission Factors'!H28</f>
        <v>kL</v>
      </c>
      <c r="G28" s="174" t="str">
        <f>IF('Carbon Contents and HHVs'!F29="","HHV not provided",'Carbon Contents and HHVs'!F29)</f>
        <v>HHV not provided</v>
      </c>
      <c r="H28" s="174" t="str">
        <f t="shared" si="1"/>
        <v>N/Av</v>
      </c>
      <c r="I28" s="174" t="str">
        <f>'Emission Factors'!E28</f>
        <v>No carbon content provided</v>
      </c>
      <c r="J28" s="722">
        <f>'Emission Factors'!F28</f>
        <v>0.12</v>
      </c>
      <c r="K28" s="722">
        <f>'Emission Factors'!G28</f>
        <v>0.064</v>
      </c>
      <c r="L28" s="417">
        <f t="shared" si="2"/>
        <v>0</v>
      </c>
      <c r="M28" s="433">
        <f t="shared" si="3"/>
        <v>0</v>
      </c>
      <c r="N28" s="433">
        <f t="shared" si="4"/>
        <v>0</v>
      </c>
      <c r="O28" s="419">
        <f t="shared" si="0"/>
        <v>0</v>
      </c>
      <c r="P28" s="317"/>
      <c r="Q28" s="126"/>
      <c r="R28" s="126"/>
      <c r="S28" s="126"/>
      <c r="T28" s="126"/>
      <c r="U28" s="126"/>
      <c r="V28" s="126"/>
      <c r="W28" s="126"/>
    </row>
    <row r="29" spans="2:23" ht="30.75">
      <c r="B29" s="96"/>
      <c r="C29" s="173" t="s">
        <v>365</v>
      </c>
      <c r="D29" s="179"/>
      <c r="E29" s="174" t="str">
        <f aca="true" t="shared" si="6" ref="E29:K29">E28</f>
        <v>kL</v>
      </c>
      <c r="F29" s="174" t="str">
        <f t="shared" si="6"/>
        <v>kL</v>
      </c>
      <c r="G29" s="174" t="str">
        <f t="shared" si="6"/>
        <v>HHV not provided</v>
      </c>
      <c r="H29" s="174" t="str">
        <f t="shared" si="1"/>
        <v>N/Av</v>
      </c>
      <c r="I29" s="174" t="str">
        <f t="shared" si="6"/>
        <v>No carbon content provided</v>
      </c>
      <c r="J29" s="722">
        <f t="shared" si="6"/>
        <v>0.12</v>
      </c>
      <c r="K29" s="722">
        <f t="shared" si="6"/>
        <v>0.064</v>
      </c>
      <c r="L29" s="417">
        <f t="shared" si="2"/>
        <v>0</v>
      </c>
      <c r="M29" s="433">
        <f t="shared" si="3"/>
        <v>0</v>
      </c>
      <c r="N29" s="433">
        <f t="shared" si="4"/>
        <v>0</v>
      </c>
      <c r="O29" s="419">
        <f t="shared" si="0"/>
        <v>0</v>
      </c>
      <c r="P29" s="317"/>
      <c r="Q29" s="126"/>
      <c r="R29" s="126"/>
      <c r="S29" s="126"/>
      <c r="T29" s="126"/>
      <c r="U29" s="126"/>
      <c r="V29" s="126"/>
      <c r="W29" s="126"/>
    </row>
    <row r="30" spans="2:23" ht="30.75">
      <c r="B30" s="96"/>
      <c r="C30" s="173" t="s">
        <v>270</v>
      </c>
      <c r="D30" s="179"/>
      <c r="E30" s="174" t="str">
        <f>'Emission Factors'!D29</f>
        <v>kL</v>
      </c>
      <c r="F30" s="174" t="str">
        <f>'Emission Factors'!H29</f>
        <v>kL</v>
      </c>
      <c r="G30" s="174" t="str">
        <f>IF('Carbon Contents and HHVs'!F30="","HHV not provided",'Carbon Contents and HHVs'!F30)</f>
        <v>HHV not provided</v>
      </c>
      <c r="H30" s="174" t="str">
        <f t="shared" si="1"/>
        <v>N/Av</v>
      </c>
      <c r="I30" s="174" t="str">
        <f>'Emission Factors'!E29</f>
        <v>No carbon content provided</v>
      </c>
      <c r="J30" s="722">
        <f>'Emission Factors'!F29</f>
        <v>0.057</v>
      </c>
      <c r="K30" s="722">
        <f>'Emission Factors'!G29</f>
        <v>0.064</v>
      </c>
      <c r="L30" s="417">
        <f t="shared" si="2"/>
        <v>0</v>
      </c>
      <c r="M30" s="433">
        <f t="shared" si="3"/>
        <v>0</v>
      </c>
      <c r="N30" s="433">
        <f t="shared" si="4"/>
        <v>0</v>
      </c>
      <c r="O30" s="419">
        <f t="shared" si="0"/>
        <v>0</v>
      </c>
      <c r="P30" s="317"/>
      <c r="Q30" s="126"/>
      <c r="R30" s="126"/>
      <c r="S30" s="126"/>
      <c r="T30" s="126"/>
      <c r="U30" s="126"/>
      <c r="V30" s="126"/>
      <c r="W30" s="126"/>
    </row>
    <row r="31" spans="2:23" ht="30.75">
      <c r="B31" s="96"/>
      <c r="C31" s="173" t="s">
        <v>272</v>
      </c>
      <c r="D31" s="179"/>
      <c r="E31" s="174" t="str">
        <f>'Emission Factors'!D30</f>
        <v>kL</v>
      </c>
      <c r="F31" s="174" t="str">
        <f>'Emission Factors'!H30</f>
        <v>kL</v>
      </c>
      <c r="G31" s="174" t="str">
        <f>IF('Carbon Contents and HHVs'!F31="","HHV not provided",'Carbon Contents and HHVs'!F31)</f>
        <v>HHV not provided</v>
      </c>
      <c r="H31" s="174" t="str">
        <f t="shared" si="1"/>
        <v>N/Av</v>
      </c>
      <c r="I31" s="174" t="str">
        <f>'Emission Factors'!E30</f>
        <v>No carbon content provided</v>
      </c>
      <c r="J31" s="722">
        <f>'Emission Factors'!F30</f>
        <v>0.006</v>
      </c>
      <c r="K31" s="722">
        <f>'Emission Factors'!G30</f>
        <v>0.031</v>
      </c>
      <c r="L31" s="417">
        <f t="shared" si="2"/>
        <v>0</v>
      </c>
      <c r="M31" s="433">
        <f t="shared" si="3"/>
        <v>0</v>
      </c>
      <c r="N31" s="433">
        <f t="shared" si="4"/>
        <v>0</v>
      </c>
      <c r="O31" s="419">
        <f t="shared" si="0"/>
        <v>0</v>
      </c>
      <c r="P31" s="317"/>
      <c r="Q31" s="126"/>
      <c r="R31" s="126"/>
      <c r="S31" s="126"/>
      <c r="T31" s="126"/>
      <c r="U31" s="126"/>
      <c r="V31" s="126"/>
      <c r="W31" s="126"/>
    </row>
    <row r="32" spans="2:23" ht="30.75">
      <c r="B32" s="96"/>
      <c r="C32" s="173" t="s">
        <v>273</v>
      </c>
      <c r="D32" s="179"/>
      <c r="E32" s="174" t="str">
        <f>'Emission Factors'!D31</f>
        <v>kL</v>
      </c>
      <c r="F32" s="174" t="str">
        <f>'Emission Factors'!H31</f>
        <v>kL</v>
      </c>
      <c r="G32" s="174" t="str">
        <f>IF('Carbon Contents and HHVs'!F32="","HHV not provided",'Carbon Contents and HHVs'!F32)</f>
        <v>HHV not provided</v>
      </c>
      <c r="H32" s="174" t="str">
        <f t="shared" si="1"/>
        <v>N/Av</v>
      </c>
      <c r="I32" s="174" t="str">
        <f>'Emission Factors'!E31</f>
        <v>No carbon content provided</v>
      </c>
      <c r="J32" s="722">
        <f>'Emission Factors'!F31</f>
        <v>0.026</v>
      </c>
      <c r="K32" s="722">
        <f>'Emission Factors'!G31</f>
        <v>0.031</v>
      </c>
      <c r="L32" s="417">
        <f t="shared" si="2"/>
        <v>0</v>
      </c>
      <c r="M32" s="433">
        <f t="shared" si="3"/>
        <v>0</v>
      </c>
      <c r="N32" s="433">
        <f t="shared" si="4"/>
        <v>0</v>
      </c>
      <c r="O32" s="419">
        <f t="shared" si="0"/>
        <v>0</v>
      </c>
      <c r="P32" s="317"/>
      <c r="Q32" s="126"/>
      <c r="R32" s="126"/>
      <c r="S32" s="126"/>
      <c r="T32" s="126"/>
      <c r="U32" s="126"/>
      <c r="V32" s="126"/>
      <c r="W32" s="126"/>
    </row>
    <row r="33" spans="2:23" ht="30.75">
      <c r="B33" s="96"/>
      <c r="C33" s="173" t="s">
        <v>274</v>
      </c>
      <c r="D33" s="179"/>
      <c r="E33" s="174" t="str">
        <f>'Emission Factors'!D32</f>
        <v>m3</v>
      </c>
      <c r="F33" s="174" t="str">
        <f>'Emission Factors'!H32</f>
        <v>m3</v>
      </c>
      <c r="G33" s="174" t="str">
        <f>IF('Carbon Contents and HHVs'!F33="","HHV not provided",'Carbon Contents and HHVs'!F33)</f>
        <v>HHV not provided</v>
      </c>
      <c r="H33" s="174" t="str">
        <f t="shared" si="1"/>
        <v>N/Av</v>
      </c>
      <c r="I33" s="174" t="str">
        <f>'Emission Factors'!E32</f>
        <v>No carbon content or HHV provided</v>
      </c>
      <c r="J33" s="722">
        <f>'Emission Factors'!F32</f>
        <v>0.037</v>
      </c>
      <c r="K33" s="722">
        <f>'Emission Factors'!G32</f>
        <v>0.033</v>
      </c>
      <c r="L33" s="417">
        <f t="shared" si="2"/>
        <v>0</v>
      </c>
      <c r="M33" s="433">
        <f t="shared" si="3"/>
        <v>0</v>
      </c>
      <c r="N33" s="433">
        <f t="shared" si="4"/>
        <v>0</v>
      </c>
      <c r="O33" s="419">
        <f t="shared" si="0"/>
        <v>0</v>
      </c>
      <c r="P33" s="317"/>
      <c r="Q33" s="126"/>
      <c r="R33" s="126"/>
      <c r="S33" s="126"/>
      <c r="T33" s="126"/>
      <c r="U33" s="126"/>
      <c r="V33" s="126"/>
      <c r="W33" s="126"/>
    </row>
    <row r="34" spans="2:23" ht="30.75">
      <c r="B34" s="96"/>
      <c r="C34" s="173" t="s">
        <v>361</v>
      </c>
      <c r="D34" s="179"/>
      <c r="E34" s="174" t="str">
        <f>'Emission Factors'!D33</f>
        <v>m3</v>
      </c>
      <c r="F34" s="174" t="str">
        <f>'Emission Factors'!H33</f>
        <v>m3</v>
      </c>
      <c r="G34" s="174" t="str">
        <f>IF('Carbon Contents and HHVs'!F34="","HHV not provided",'Carbon Contents and HHVs'!F34)</f>
        <v>HHV not provided</v>
      </c>
      <c r="H34" s="174" t="str">
        <f t="shared" si="1"/>
        <v>N/Av</v>
      </c>
      <c r="I34" s="174" t="str">
        <f>'Emission Factors'!E33</f>
        <v>No carbon content or HHV provided</v>
      </c>
      <c r="J34" s="722">
        <f>'Emission Factors'!F33</f>
        <v>0.037</v>
      </c>
      <c r="K34" s="722">
        <f>'Emission Factors'!G33</f>
        <v>0.033</v>
      </c>
      <c r="L34" s="417">
        <f>_xlfn.IFERROR(I34*D34/1000,0)</f>
        <v>0</v>
      </c>
      <c r="M34" s="433">
        <f t="shared" si="3"/>
        <v>0</v>
      </c>
      <c r="N34" s="433">
        <f t="shared" si="4"/>
        <v>0</v>
      </c>
      <c r="O34" s="419">
        <f>_xlfn.IFERROR(L34+M34*GWPCH4+N34*GWPN2O,0)</f>
        <v>0</v>
      </c>
      <c r="P34" s="317"/>
      <c r="Q34" s="126"/>
      <c r="R34" s="126"/>
      <c r="S34" s="126"/>
      <c r="T34" s="126"/>
      <c r="U34" s="126"/>
      <c r="V34" s="126"/>
      <c r="W34" s="126"/>
    </row>
    <row r="35" spans="2:23" ht="30.75">
      <c r="B35" s="96"/>
      <c r="C35" s="176" t="s">
        <v>250</v>
      </c>
      <c r="D35" s="179"/>
      <c r="E35" s="174" t="str">
        <f>'Emission Factors'!D35</f>
        <v>tonne</v>
      </c>
      <c r="F35" s="174" t="str">
        <f>'Emission Factors'!H35</f>
        <v>dry tonne</v>
      </c>
      <c r="G35" s="174" t="str">
        <f>IF('Carbon Contents and HHVs'!F36="","HHV not provided",'Carbon Contents and HHVs'!F36)</f>
        <v>HHV not provided</v>
      </c>
      <c r="H35" s="174" t="str">
        <f t="shared" si="1"/>
        <v>N/Av</v>
      </c>
      <c r="I35" s="174" t="str">
        <f>'Emission Factors'!E35</f>
        <v>No carbon content provided</v>
      </c>
      <c r="J35" s="721"/>
      <c r="K35" s="721"/>
      <c r="L35" s="417">
        <f t="shared" si="2"/>
        <v>0</v>
      </c>
      <c r="M35" s="433">
        <f t="shared" si="3"/>
        <v>0</v>
      </c>
      <c r="N35" s="433">
        <f t="shared" si="4"/>
        <v>0</v>
      </c>
      <c r="O35" s="419">
        <f t="shared" si="0"/>
        <v>0</v>
      </c>
      <c r="P35" s="317"/>
      <c r="Q35" s="126"/>
      <c r="R35" s="126"/>
      <c r="S35" s="126"/>
      <c r="T35" s="126"/>
      <c r="U35" s="126"/>
      <c r="V35" s="126"/>
      <c r="W35" s="126"/>
    </row>
    <row r="36" spans="2:23" ht="34.5" customHeight="1">
      <c r="B36" s="96"/>
      <c r="C36" s="173" t="s">
        <v>251</v>
      </c>
      <c r="D36" s="179"/>
      <c r="E36" s="174" t="str">
        <f>'Emission Factors'!D36</f>
        <v>dry tonne</v>
      </c>
      <c r="F36" s="174" t="str">
        <f>'Emission Factors'!H36</f>
        <v>dry tonne</v>
      </c>
      <c r="G36" s="174" t="str">
        <f>IF('Carbon Contents and HHVs'!F37="","HHV not provided",'Carbon Contents and HHVs'!F37)</f>
        <v>HHV not provided</v>
      </c>
      <c r="H36" s="174" t="str">
        <f t="shared" si="1"/>
        <v>N/Av</v>
      </c>
      <c r="I36" s="174">
        <v>0</v>
      </c>
      <c r="J36" s="722">
        <f>'Emission Factors'!F36</f>
        <v>0.1</v>
      </c>
      <c r="K36" s="722">
        <f>'Emission Factors'!G36</f>
        <v>0.07</v>
      </c>
      <c r="L36" s="417">
        <f t="shared" si="2"/>
        <v>0</v>
      </c>
      <c r="M36" s="433">
        <f t="shared" si="3"/>
        <v>0</v>
      </c>
      <c r="N36" s="433">
        <f t="shared" si="4"/>
        <v>0</v>
      </c>
      <c r="O36" s="419">
        <f t="shared" si="0"/>
        <v>0</v>
      </c>
      <c r="P36" s="317"/>
      <c r="Q36" s="126"/>
      <c r="R36" s="126"/>
      <c r="S36" s="126"/>
      <c r="T36" s="126"/>
      <c r="U36" s="126"/>
      <c r="V36" s="126"/>
      <c r="W36" s="126"/>
    </row>
    <row r="37" spans="2:23" ht="30.75">
      <c r="B37" s="96"/>
      <c r="C37" s="173" t="s">
        <v>252</v>
      </c>
      <c r="D37" s="179"/>
      <c r="E37" s="174" t="str">
        <f>'Emission Factors'!D37</f>
        <v>dry tonne</v>
      </c>
      <c r="F37" s="174" t="str">
        <f>'Emission Factors'!H37</f>
        <v>dry tonne</v>
      </c>
      <c r="G37" s="174" t="str">
        <f>IF('Carbon Contents and HHVs'!F38="","HHV not provided",'Carbon Contents and HHVs'!F38)</f>
        <v>HHV not provided</v>
      </c>
      <c r="H37" s="174" t="str">
        <f t="shared" si="1"/>
        <v>N/Av</v>
      </c>
      <c r="I37" s="174">
        <v>0</v>
      </c>
      <c r="J37" s="722">
        <f>'Emission Factors'!F37</f>
        <v>0.029</v>
      </c>
      <c r="K37" s="722">
        <f>'Emission Factors'!G37</f>
        <v>0.005</v>
      </c>
      <c r="L37" s="417">
        <f t="shared" si="2"/>
        <v>0</v>
      </c>
      <c r="M37" s="433">
        <f t="shared" si="3"/>
        <v>0</v>
      </c>
      <c r="N37" s="433">
        <f t="shared" si="4"/>
        <v>0</v>
      </c>
      <c r="O37" s="419">
        <f t="shared" si="0"/>
        <v>0</v>
      </c>
      <c r="P37" s="317"/>
      <c r="Q37" s="126"/>
      <c r="R37" s="126"/>
      <c r="S37" s="126"/>
      <c r="T37" s="126"/>
      <c r="U37" s="126"/>
      <c r="V37" s="126"/>
      <c r="W37" s="126"/>
    </row>
    <row r="38" spans="2:23" ht="30.75">
      <c r="B38" s="96"/>
      <c r="C38" s="173" t="s">
        <v>253</v>
      </c>
      <c r="D38" s="179"/>
      <c r="E38" s="174" t="str">
        <f>'Emission Factors'!D38</f>
        <v>dry tonne</v>
      </c>
      <c r="F38" s="174" t="str">
        <f>'Emission Factors'!H38</f>
        <v>dry tonne</v>
      </c>
      <c r="G38" s="174" t="str">
        <f>IF('Carbon Contents and HHVs'!F39="","HHV not provided",'Carbon Contents and HHVs'!F39)</f>
        <v>HHV not provided</v>
      </c>
      <c r="H38" s="174" t="str">
        <f t="shared" si="1"/>
        <v>N/Av</v>
      </c>
      <c r="I38" s="174">
        <v>0</v>
      </c>
      <c r="J38" s="722">
        <f>'Emission Factors'!F38</f>
        <v>0.029</v>
      </c>
      <c r="K38" s="722">
        <f>'Emission Factors'!G38</f>
        <v>0.005</v>
      </c>
      <c r="L38" s="417">
        <f t="shared" si="2"/>
        <v>0</v>
      </c>
      <c r="M38" s="433">
        <f t="shared" si="3"/>
        <v>0</v>
      </c>
      <c r="N38" s="433">
        <f t="shared" si="4"/>
        <v>0</v>
      </c>
      <c r="O38" s="419">
        <f t="shared" si="0"/>
        <v>0</v>
      </c>
      <c r="P38" s="317"/>
      <c r="Q38" s="126"/>
      <c r="R38" s="126"/>
      <c r="S38" s="126"/>
      <c r="T38" s="126"/>
      <c r="U38" s="126"/>
      <c r="V38" s="126"/>
      <c r="W38" s="126"/>
    </row>
    <row r="39" spans="2:23" ht="30.75">
      <c r="B39" s="96"/>
      <c r="C39" s="173" t="s">
        <v>254</v>
      </c>
      <c r="D39" s="179"/>
      <c r="E39" s="174" t="str">
        <f>'Emission Factors'!D39</f>
        <v>dry tonne</v>
      </c>
      <c r="F39" s="174" t="str">
        <f>'Emission Factors'!H39</f>
        <v>dry tonne</v>
      </c>
      <c r="G39" s="174" t="str">
        <f>IF('Carbon Contents and HHVs'!F40="","HHV not provided",'Carbon Contents and HHVs'!F40)</f>
        <v>HHV not provided</v>
      </c>
      <c r="H39" s="174" t="str">
        <f t="shared" si="1"/>
        <v>N/Av</v>
      </c>
      <c r="I39" s="174">
        <v>0</v>
      </c>
      <c r="J39" s="722">
        <f>'Emission Factors'!F39</f>
        <v>0.029</v>
      </c>
      <c r="K39" s="722">
        <f>'Emission Factors'!G39</f>
        <v>0.005</v>
      </c>
      <c r="L39" s="417">
        <f t="shared" si="2"/>
        <v>0</v>
      </c>
      <c r="M39" s="433">
        <f t="shared" si="3"/>
        <v>0</v>
      </c>
      <c r="N39" s="433">
        <f t="shared" si="4"/>
        <v>0</v>
      </c>
      <c r="O39" s="419">
        <f t="shared" si="0"/>
        <v>0</v>
      </c>
      <c r="P39" s="317"/>
      <c r="Q39" s="126"/>
      <c r="R39" s="126"/>
      <c r="S39" s="126"/>
      <c r="T39" s="126"/>
      <c r="U39" s="126"/>
      <c r="V39" s="126"/>
      <c r="W39" s="126"/>
    </row>
    <row r="40" spans="2:23" ht="31.5" customHeight="1">
      <c r="B40" s="96"/>
      <c r="C40" s="173" t="s">
        <v>255</v>
      </c>
      <c r="D40" s="179"/>
      <c r="E40" s="174" t="str">
        <f>'Emission Factors'!D40</f>
        <v>dry tonne</v>
      </c>
      <c r="F40" s="174" t="str">
        <f>'Emission Factors'!H40</f>
        <v>dry tonne</v>
      </c>
      <c r="G40" s="174" t="str">
        <f>IF('Carbon Contents and HHVs'!F41="","HHV not provided",'Carbon Contents and HHVs'!F41)</f>
        <v>HHV not provided</v>
      </c>
      <c r="H40" s="174" t="str">
        <f t="shared" si="1"/>
        <v>N/Av</v>
      </c>
      <c r="I40" s="174">
        <v>0</v>
      </c>
      <c r="J40" s="722">
        <f>'Emission Factors'!F40</f>
        <v>0.1</v>
      </c>
      <c r="K40" s="722">
        <f>'Emission Factors'!G40</f>
        <v>0.07</v>
      </c>
      <c r="L40" s="417">
        <f t="shared" si="2"/>
        <v>0</v>
      </c>
      <c r="M40" s="433">
        <f t="shared" si="3"/>
        <v>0</v>
      </c>
      <c r="N40" s="433">
        <f t="shared" si="4"/>
        <v>0</v>
      </c>
      <c r="O40" s="419">
        <f t="shared" si="0"/>
        <v>0</v>
      </c>
      <c r="P40" s="317"/>
      <c r="Q40" s="126"/>
      <c r="R40" s="126"/>
      <c r="S40" s="126"/>
      <c r="T40" s="126"/>
      <c r="U40" s="126"/>
      <c r="V40" s="126"/>
      <c r="W40" s="126"/>
    </row>
    <row r="41" spans="2:23" ht="31.5" customHeight="1">
      <c r="B41" s="96"/>
      <c r="C41" s="173" t="s">
        <v>277</v>
      </c>
      <c r="D41" s="179"/>
      <c r="E41" s="174" t="str">
        <f>'Emission Factors'!D41</f>
        <v>dry tonne</v>
      </c>
      <c r="F41" s="174" t="str">
        <f>'Emission Factors'!H41</f>
        <v>dry tonne</v>
      </c>
      <c r="G41" s="786" t="s">
        <v>11</v>
      </c>
      <c r="H41" s="787"/>
      <c r="I41" s="174">
        <v>0</v>
      </c>
      <c r="J41" s="721"/>
      <c r="K41" s="721"/>
      <c r="L41" s="417">
        <f t="shared" si="2"/>
        <v>0</v>
      </c>
      <c r="M41" s="433">
        <f t="shared" si="3"/>
        <v>0</v>
      </c>
      <c r="N41" s="433">
        <f t="shared" si="4"/>
        <v>0</v>
      </c>
      <c r="O41" s="419">
        <f t="shared" si="0"/>
        <v>0</v>
      </c>
      <c r="P41" s="317"/>
      <c r="Q41" s="126"/>
      <c r="R41" s="126"/>
      <c r="S41" s="126"/>
      <c r="T41" s="126"/>
      <c r="U41" s="126"/>
      <c r="V41" s="126"/>
      <c r="W41" s="126"/>
    </row>
    <row r="42" spans="2:16" ht="33">
      <c r="B42" s="107"/>
      <c r="C42" s="310" t="s">
        <v>296</v>
      </c>
      <c r="D42" s="311"/>
      <c r="E42" s="143"/>
      <c r="F42" s="143"/>
      <c r="G42" s="143"/>
      <c r="H42" s="143"/>
      <c r="I42" s="143"/>
      <c r="J42" s="108"/>
      <c r="K42" s="108"/>
      <c r="L42" s="169" t="s">
        <v>413</v>
      </c>
      <c r="M42" s="169" t="s">
        <v>414</v>
      </c>
      <c r="N42" s="169" t="s">
        <v>415</v>
      </c>
      <c r="O42" s="171" t="s">
        <v>420</v>
      </c>
      <c r="P42" s="318"/>
    </row>
    <row r="43" spans="2:16" ht="32.25" customHeight="1">
      <c r="B43" s="107"/>
      <c r="C43" s="311" t="s">
        <v>416</v>
      </c>
      <c r="D43" s="311"/>
      <c r="E43" s="311"/>
      <c r="F43" s="311"/>
      <c r="G43" s="311"/>
      <c r="H43" s="311"/>
      <c r="I43" s="801" t="s">
        <v>418</v>
      </c>
      <c r="J43" s="802"/>
      <c r="K43" s="803"/>
      <c r="L43" s="420">
        <f>SUM(L18:L41)</f>
        <v>0</v>
      </c>
      <c r="M43" s="723">
        <f>SUM(M18:M41)</f>
        <v>0</v>
      </c>
      <c r="N43" s="723">
        <f>SUM(N18:N41)</f>
        <v>0</v>
      </c>
      <c r="O43" s="421">
        <f>L43+M43*GWPCH4+N43*GWPN2O</f>
        <v>0</v>
      </c>
      <c r="P43" s="98"/>
    </row>
    <row r="44" spans="2:16" ht="58.5" customHeight="1">
      <c r="B44" s="107"/>
      <c r="C44" s="312" t="s">
        <v>417</v>
      </c>
      <c r="D44" s="108"/>
      <c r="E44" s="143"/>
      <c r="F44" s="143"/>
      <c r="G44" s="143"/>
      <c r="H44" s="143"/>
      <c r="I44" s="801" t="s">
        <v>419</v>
      </c>
      <c r="J44" s="802"/>
      <c r="K44" s="803"/>
      <c r="L44" s="420">
        <f>'CO2 Imports and Exports'!E22</f>
        <v>0</v>
      </c>
      <c r="M44" s="422" t="s">
        <v>11</v>
      </c>
      <c r="N44" s="422" t="s">
        <v>11</v>
      </c>
      <c r="O44" s="422" t="s">
        <v>11</v>
      </c>
      <c r="P44" s="98"/>
    </row>
    <row r="45" spans="2:16" ht="42" customHeight="1">
      <c r="B45" s="107"/>
      <c r="C45" s="108"/>
      <c r="D45" s="108"/>
      <c r="E45" s="143"/>
      <c r="F45" s="143"/>
      <c r="G45" s="143"/>
      <c r="H45" s="143"/>
      <c r="I45" s="801" t="s">
        <v>298</v>
      </c>
      <c r="J45" s="802"/>
      <c r="K45" s="803"/>
      <c r="L45" s="420">
        <f>L43-L44</f>
        <v>0</v>
      </c>
      <c r="M45" s="724">
        <f>M43</f>
        <v>0</v>
      </c>
      <c r="N45" s="724">
        <f>N43</f>
        <v>0</v>
      </c>
      <c r="O45" s="421">
        <f>L45+M45*GWPCH4+N45*GWPN2O</f>
        <v>0</v>
      </c>
      <c r="P45" s="98"/>
    </row>
    <row r="46" spans="2:16" ht="18" customHeight="1" thickBot="1">
      <c r="B46" s="99"/>
      <c r="C46" s="100"/>
      <c r="D46" s="100"/>
      <c r="E46" s="313"/>
      <c r="F46" s="313"/>
      <c r="G46" s="313"/>
      <c r="H46" s="313"/>
      <c r="I46" s="313"/>
      <c r="J46" s="100"/>
      <c r="K46" s="100"/>
      <c r="L46" s="100"/>
      <c r="M46" s="100"/>
      <c r="N46" s="100"/>
      <c r="O46" s="100"/>
      <c r="P46" s="314"/>
    </row>
    <row r="47" spans="2:14" ht="23.25" customHeight="1" thickTop="1">
      <c r="B47" s="123"/>
      <c r="C47" s="123"/>
      <c r="D47" s="123"/>
      <c r="E47" s="123"/>
      <c r="F47" s="123"/>
      <c r="G47" s="123"/>
      <c r="H47" s="123"/>
      <c r="I47" s="124"/>
      <c r="J47" s="125"/>
      <c r="K47" s="126"/>
      <c r="L47" s="126"/>
      <c r="M47" s="126"/>
      <c r="N47" s="126"/>
    </row>
  </sheetData>
  <sheetProtection password="CD08" sheet="1"/>
  <mergeCells count="20">
    <mergeCell ref="B2:O2"/>
    <mergeCell ref="I43:K43"/>
    <mergeCell ref="I44:K44"/>
    <mergeCell ref="I45:K45"/>
    <mergeCell ref="C5:O5"/>
    <mergeCell ref="C6:O6"/>
    <mergeCell ref="C7:O7"/>
    <mergeCell ref="L15:O15"/>
    <mergeCell ref="I15:K15"/>
    <mergeCell ref="D15:E15"/>
    <mergeCell ref="B11:C11"/>
    <mergeCell ref="B10:C10"/>
    <mergeCell ref="G41:H41"/>
    <mergeCell ref="H16:H17"/>
    <mergeCell ref="C15:C16"/>
    <mergeCell ref="D16:D17"/>
    <mergeCell ref="E16:E17"/>
    <mergeCell ref="F15:F17"/>
    <mergeCell ref="G15:H15"/>
    <mergeCell ref="G16:G17"/>
  </mergeCells>
  <printOptions horizontalCentered="1" verticalCentered="1"/>
  <pageMargins left="0.75" right="0.75" top="0.27" bottom="0.42" header="0.19" footer="0.33"/>
  <pageSetup fitToHeight="3" fitToWidth="1" horizontalDpi="600" verticalDpi="600" orientation="portrait" scale="39" r:id="rId1"/>
  <headerFooter alignWithMargins="0">
    <oddHeader>&amp;L&amp;D&amp;R&amp;F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I29"/>
  <sheetViews>
    <sheetView zoomScalePageLayoutView="0" workbookViewId="0" topLeftCell="A7">
      <pane ySplit="11" topLeftCell="A18" activePane="bottomLeft" state="frozen"/>
      <selection pane="topLeft" activeCell="A7" sqref="A7"/>
      <selection pane="bottomLeft" activeCell="A7" sqref="A7"/>
    </sheetView>
  </sheetViews>
  <sheetFormatPr defaultColWidth="9.7109375" defaultRowHeight="12.75"/>
  <cols>
    <col min="1" max="2" width="3.57421875" style="180" customWidth="1"/>
    <col min="3" max="3" width="31.57421875" style="180" customWidth="1"/>
    <col min="4" max="4" width="17.00390625" style="180" customWidth="1"/>
    <col min="5" max="5" width="19.140625" style="180" customWidth="1"/>
    <col min="6" max="6" width="19.57421875" style="180" customWidth="1"/>
    <col min="7" max="8" width="21.140625" style="180" customWidth="1"/>
    <col min="9" max="9" width="3.57421875" style="180" customWidth="1"/>
    <col min="10" max="16384" width="9.7109375" style="180" customWidth="1"/>
  </cols>
  <sheetData>
    <row r="1" ht="21.75" customHeight="1">
      <c r="B1" s="188" t="s">
        <v>350</v>
      </c>
    </row>
    <row r="2" spans="2:8" ht="18">
      <c r="B2" s="811" t="s">
        <v>436</v>
      </c>
      <c r="C2" s="811"/>
      <c r="D2" s="811"/>
      <c r="E2" s="811"/>
      <c r="F2" s="811"/>
      <c r="G2" s="811"/>
      <c r="H2" s="811"/>
    </row>
    <row r="3" spans="3:8" ht="18">
      <c r="C3" s="296"/>
      <c r="D3" s="296"/>
      <c r="E3" s="296"/>
      <c r="F3" s="296"/>
      <c r="G3" s="296"/>
      <c r="H3" s="296"/>
    </row>
    <row r="4" spans="2:8" s="181" customFormat="1" ht="18">
      <c r="B4" s="375" t="s">
        <v>422</v>
      </c>
      <c r="D4" s="374"/>
      <c r="E4" s="374"/>
      <c r="F4" s="374"/>
      <c r="G4" s="374"/>
      <c r="H4" s="182"/>
    </row>
    <row r="5" spans="3:8" s="181" customFormat="1" ht="38.25" customHeight="1">
      <c r="C5" s="810" t="s">
        <v>421</v>
      </c>
      <c r="D5" s="810"/>
      <c r="E5" s="810"/>
      <c r="F5" s="810"/>
      <c r="G5" s="810"/>
      <c r="H5" s="810"/>
    </row>
    <row r="6" spans="3:7" s="183" customFormat="1" ht="19.5" customHeight="1">
      <c r="C6" s="295" t="s">
        <v>349</v>
      </c>
      <c r="D6" s="189"/>
      <c r="E6" s="189"/>
      <c r="F6" s="189"/>
      <c r="G6" s="189"/>
    </row>
    <row r="7" s="183" customFormat="1" ht="19.5" customHeight="1" thickBot="1">
      <c r="C7" s="184"/>
    </row>
    <row r="8" spans="2:7" s="183" customFormat="1" ht="18" customHeight="1" thickTop="1">
      <c r="B8" s="190" t="s">
        <v>24</v>
      </c>
      <c r="C8" s="191"/>
      <c r="D8" s="185"/>
      <c r="E8" s="191"/>
      <c r="F8" s="192"/>
      <c r="G8" s="193"/>
    </row>
    <row r="9" spans="2:7" s="183" customFormat="1" ht="18" customHeight="1">
      <c r="B9" s="195"/>
      <c r="C9" s="196"/>
      <c r="D9" s="808" t="s">
        <v>353</v>
      </c>
      <c r="E9" s="809"/>
      <c r="F9" s="200"/>
      <c r="G9" s="194"/>
    </row>
    <row r="10" spans="2:7" s="183" customFormat="1" ht="18" customHeight="1">
      <c r="B10" s="195"/>
      <c r="C10" s="189"/>
      <c r="D10" s="808" t="s">
        <v>352</v>
      </c>
      <c r="E10" s="809"/>
      <c r="F10" s="423"/>
      <c r="G10" s="194"/>
    </row>
    <row r="11" spans="2:7" s="183" customFormat="1" ht="18" customHeight="1" thickBot="1">
      <c r="B11" s="197"/>
      <c r="C11" s="198"/>
      <c r="D11" s="198"/>
      <c r="E11" s="198"/>
      <c r="F11" s="198"/>
      <c r="G11" s="199"/>
    </row>
    <row r="12" s="183" customFormat="1" ht="18" customHeight="1" thickBot="1" thickTop="1">
      <c r="B12" s="186"/>
    </row>
    <row r="13" spans="2:9" s="183" customFormat="1" ht="18" customHeight="1" thickTop="1">
      <c r="B13" s="209" t="s">
        <v>357</v>
      </c>
      <c r="C13" s="210"/>
      <c r="D13" s="210"/>
      <c r="E13" s="210"/>
      <c r="F13" s="210"/>
      <c r="G13" s="210"/>
      <c r="H13" s="210"/>
      <c r="I13" s="211"/>
    </row>
    <row r="14" spans="2:9" s="183" customFormat="1" ht="18" customHeight="1">
      <c r="B14" s="212"/>
      <c r="C14" s="213"/>
      <c r="D14" s="214"/>
      <c r="E14" s="214"/>
      <c r="F14" s="214"/>
      <c r="G14" s="214"/>
      <c r="H14" s="214"/>
      <c r="I14" s="215"/>
    </row>
    <row r="15" spans="2:9" s="183" customFormat="1" ht="18" customHeight="1">
      <c r="B15" s="212"/>
      <c r="C15" s="214"/>
      <c r="D15" s="214"/>
      <c r="E15" s="214"/>
      <c r="F15" s="214"/>
      <c r="G15" s="214"/>
      <c r="H15" s="214"/>
      <c r="I15" s="215"/>
    </row>
    <row r="16" spans="2:9" ht="33">
      <c r="B16" s="212"/>
      <c r="C16" s="216"/>
      <c r="D16" s="201" t="s">
        <v>354</v>
      </c>
      <c r="E16" s="201" t="s">
        <v>423</v>
      </c>
      <c r="F16" s="201" t="s">
        <v>424</v>
      </c>
      <c r="G16" s="201" t="s">
        <v>425</v>
      </c>
      <c r="H16" s="201" t="s">
        <v>355</v>
      </c>
      <c r="I16" s="215"/>
    </row>
    <row r="17" spans="2:9" ht="28.5" customHeight="1">
      <c r="B17" s="212"/>
      <c r="C17" s="217"/>
      <c r="D17" s="202" t="s">
        <v>345</v>
      </c>
      <c r="E17" s="202" t="s">
        <v>426</v>
      </c>
      <c r="F17" s="202" t="s">
        <v>427</v>
      </c>
      <c r="G17" s="202" t="s">
        <v>428</v>
      </c>
      <c r="H17" s="202" t="s">
        <v>356</v>
      </c>
      <c r="I17" s="215"/>
    </row>
    <row r="18" spans="2:9" s="187" customFormat="1" ht="19.5" customHeight="1">
      <c r="B18" s="218"/>
      <c r="C18" s="203" t="s">
        <v>351</v>
      </c>
      <c r="D18" s="204"/>
      <c r="E18" s="204"/>
      <c r="F18" s="204"/>
      <c r="G18" s="204"/>
      <c r="H18" s="204"/>
      <c r="I18" s="222"/>
    </row>
    <row r="19" spans="2:9" ht="19.5" customHeight="1">
      <c r="B19" s="212"/>
      <c r="C19" s="205"/>
      <c r="D19" s="206"/>
      <c r="E19" s="206"/>
      <c r="F19" s="207"/>
      <c r="G19" s="207"/>
      <c r="H19" s="424">
        <f aca="true" t="shared" si="0" ref="H19:H27">E19*1+F19*GWPCH4+G19*GWPN2O</f>
        <v>0</v>
      </c>
      <c r="I19" s="215"/>
    </row>
    <row r="20" spans="2:9" ht="19.5" customHeight="1">
      <c r="B20" s="212"/>
      <c r="C20" s="205"/>
      <c r="D20" s="206"/>
      <c r="E20" s="206"/>
      <c r="F20" s="207"/>
      <c r="G20" s="207"/>
      <c r="H20" s="424">
        <f t="shared" si="0"/>
        <v>0</v>
      </c>
      <c r="I20" s="215"/>
    </row>
    <row r="21" spans="2:9" ht="19.5" customHeight="1">
      <c r="B21" s="212"/>
      <c r="C21" s="205"/>
      <c r="D21" s="206"/>
      <c r="E21" s="206"/>
      <c r="F21" s="207"/>
      <c r="G21" s="207"/>
      <c r="H21" s="424">
        <f t="shared" si="0"/>
        <v>0</v>
      </c>
      <c r="I21" s="215"/>
    </row>
    <row r="22" spans="2:9" ht="19.5" customHeight="1">
      <c r="B22" s="212"/>
      <c r="C22" s="205"/>
      <c r="D22" s="206"/>
      <c r="E22" s="206"/>
      <c r="F22" s="207"/>
      <c r="G22" s="207"/>
      <c r="H22" s="424">
        <f t="shared" si="0"/>
        <v>0</v>
      </c>
      <c r="I22" s="215"/>
    </row>
    <row r="23" spans="2:9" ht="19.5" customHeight="1">
      <c r="B23" s="212"/>
      <c r="C23" s="205"/>
      <c r="D23" s="206"/>
      <c r="E23" s="206"/>
      <c r="F23" s="207"/>
      <c r="G23" s="207"/>
      <c r="H23" s="424">
        <f t="shared" si="0"/>
        <v>0</v>
      </c>
      <c r="I23" s="215"/>
    </row>
    <row r="24" spans="2:9" ht="19.5" customHeight="1">
      <c r="B24" s="212"/>
      <c r="C24" s="205"/>
      <c r="D24" s="206"/>
      <c r="E24" s="206"/>
      <c r="F24" s="207"/>
      <c r="G24" s="207"/>
      <c r="H24" s="424">
        <f t="shared" si="0"/>
        <v>0</v>
      </c>
      <c r="I24" s="215"/>
    </row>
    <row r="25" spans="2:9" ht="19.5" customHeight="1">
      <c r="B25" s="212"/>
      <c r="C25" s="205"/>
      <c r="D25" s="206"/>
      <c r="E25" s="206"/>
      <c r="F25" s="207"/>
      <c r="G25" s="207"/>
      <c r="H25" s="424">
        <f t="shared" si="0"/>
        <v>0</v>
      </c>
      <c r="I25" s="215"/>
    </row>
    <row r="26" spans="2:9" ht="19.5" customHeight="1">
      <c r="B26" s="212"/>
      <c r="C26" s="205"/>
      <c r="D26" s="206"/>
      <c r="E26" s="206"/>
      <c r="F26" s="207"/>
      <c r="G26" s="207"/>
      <c r="H26" s="424">
        <f t="shared" si="0"/>
        <v>0</v>
      </c>
      <c r="I26" s="215"/>
    </row>
    <row r="27" spans="2:9" ht="19.5" customHeight="1">
      <c r="B27" s="212"/>
      <c r="C27" s="205"/>
      <c r="D27" s="206"/>
      <c r="E27" s="206"/>
      <c r="F27" s="207"/>
      <c r="G27" s="207"/>
      <c r="H27" s="424">
        <f t="shared" si="0"/>
        <v>0</v>
      </c>
      <c r="I27" s="215"/>
    </row>
    <row r="28" spans="2:9" ht="18" customHeight="1">
      <c r="B28" s="212"/>
      <c r="C28" s="208" t="s">
        <v>299</v>
      </c>
      <c r="D28" s="426">
        <f>SUM(D19:D27)</f>
        <v>0</v>
      </c>
      <c r="E28" s="426">
        <f>SUM(E19:E27)</f>
        <v>0</v>
      </c>
      <c r="F28" s="426">
        <f>SUM(F19:F27)</f>
        <v>0</v>
      </c>
      <c r="G28" s="426">
        <f>SUM(G19:G27)</f>
        <v>0</v>
      </c>
      <c r="H28" s="425">
        <f>SUM(H19:H27)</f>
        <v>0</v>
      </c>
      <c r="I28" s="215"/>
    </row>
    <row r="29" spans="2:9" ht="15.75" thickBot="1">
      <c r="B29" s="219"/>
      <c r="C29" s="220"/>
      <c r="D29" s="220"/>
      <c r="E29" s="220"/>
      <c r="F29" s="220"/>
      <c r="G29" s="220"/>
      <c r="H29" s="220"/>
      <c r="I29" s="221"/>
    </row>
    <row r="30" ht="14.25" thickTop="1"/>
  </sheetData>
  <sheetProtection password="CD08" sheet="1"/>
  <mergeCells count="4">
    <mergeCell ref="D9:E9"/>
    <mergeCell ref="D10:E10"/>
    <mergeCell ref="C5:H5"/>
    <mergeCell ref="B2:H2"/>
  </mergeCells>
  <printOptions horizontalCentered="1"/>
  <pageMargins left="0.75" right="0.75" top="1" bottom="1" header="0.5" footer="0.5"/>
  <pageSetup fitToHeight="1" fitToWidth="1" horizontalDpi="600" verticalDpi="600" orientation="landscape" scale="89" r:id="rId1"/>
  <headerFooter alignWithMargins="0">
    <oddHeader>&amp;L&amp;D&amp;R&amp;F</oddHeader>
  </headerFooter>
  <rowBreaks count="1" manualBreakCount="1">
    <brk id="1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BV34"/>
  <sheetViews>
    <sheetView zoomScale="115" zoomScaleNormal="115" zoomScalePageLayoutView="0" workbookViewId="0" topLeftCell="A4">
      <pane ySplit="14" topLeftCell="A18" activePane="bottomLeft" state="frozen"/>
      <selection pane="topLeft" activeCell="A4" sqref="A4"/>
      <selection pane="bottomLeft" activeCell="M18" sqref="M18"/>
    </sheetView>
  </sheetViews>
  <sheetFormatPr defaultColWidth="9.140625" defaultRowHeight="12.75"/>
  <cols>
    <col min="1" max="2" width="3.57421875" style="226" customWidth="1"/>
    <col min="3" max="3" width="51.00390625" style="226" bestFit="1" customWidth="1"/>
    <col min="4" max="4" width="12.8515625" style="227" customWidth="1"/>
    <col min="5" max="5" width="10.140625" style="226" customWidth="1"/>
    <col min="6" max="6" width="11.28125" style="226" customWidth="1"/>
    <col min="7" max="7" width="17.00390625" style="226" customWidth="1"/>
    <col min="8" max="8" width="8.421875" style="227" bestFit="1" customWidth="1"/>
    <col min="9" max="9" width="12.57421875" style="226" customWidth="1"/>
    <col min="10" max="10" width="12.57421875" style="242" customWidth="1"/>
    <col min="11" max="11" width="14.8515625" style="242" customWidth="1"/>
    <col min="12" max="12" width="13.8515625" style="242" customWidth="1"/>
    <col min="13" max="13" width="13.140625" style="242" customWidth="1"/>
    <col min="14" max="14" width="10.8515625" style="242" customWidth="1"/>
    <col min="15" max="15" width="15.28125" style="242" customWidth="1"/>
    <col min="16" max="16" width="3.57421875" style="226" customWidth="1"/>
    <col min="17" max="17" width="9.140625" style="226" customWidth="1"/>
    <col min="18" max="18" width="15.421875" style="226" customWidth="1"/>
    <col min="19" max="19" width="14.8515625" style="226" customWidth="1"/>
    <col min="20" max="20" width="9.140625" style="226" customWidth="1"/>
    <col min="21" max="21" width="10.421875" style="226" customWidth="1"/>
    <col min="22" max="22" width="10.7109375" style="226" customWidth="1"/>
    <col min="23" max="23" width="15.57421875" style="226" customWidth="1"/>
    <col min="24" max="16384" width="9.140625" style="226" customWidth="1"/>
  </cols>
  <sheetData>
    <row r="1" spans="2:15" s="223" customFormat="1" ht="30" customHeight="1">
      <c r="B1" s="243" t="s">
        <v>342</v>
      </c>
      <c r="D1" s="224"/>
      <c r="E1" s="224"/>
      <c r="F1" s="224"/>
      <c r="G1" s="224"/>
      <c r="H1" s="225"/>
      <c r="I1" s="225"/>
      <c r="J1" s="225"/>
      <c r="K1" s="225"/>
      <c r="L1" s="225"/>
      <c r="M1" s="225"/>
      <c r="N1" s="225"/>
      <c r="O1" s="225"/>
    </row>
    <row r="2" spans="2:15" s="223" customFormat="1" ht="21" customHeight="1">
      <c r="B2" s="816" t="s">
        <v>431</v>
      </c>
      <c r="C2" s="816"/>
      <c r="D2" s="816"/>
      <c r="E2" s="816"/>
      <c r="F2" s="816"/>
      <c r="G2" s="816"/>
      <c r="H2" s="816"/>
      <c r="I2" s="816"/>
      <c r="J2" s="816"/>
      <c r="K2" s="816"/>
      <c r="L2" s="816"/>
      <c r="M2" s="816"/>
      <c r="N2" s="816"/>
      <c r="O2" s="816"/>
    </row>
    <row r="3" spans="2:15" s="223" customFormat="1" ht="21">
      <c r="B3" s="243"/>
      <c r="C3" s="319"/>
      <c r="D3" s="319"/>
      <c r="E3" s="319"/>
      <c r="F3" s="319"/>
      <c r="G3" s="319"/>
      <c r="H3" s="319"/>
      <c r="I3" s="319"/>
      <c r="J3" s="319"/>
      <c r="K3" s="319"/>
      <c r="L3" s="319"/>
      <c r="M3" s="319"/>
      <c r="N3" s="319"/>
      <c r="O3" s="319"/>
    </row>
    <row r="4" spans="2:15" s="223" customFormat="1" ht="16.5" customHeight="1">
      <c r="B4" s="244" t="s">
        <v>296</v>
      </c>
      <c r="D4" s="245"/>
      <c r="E4" s="245"/>
      <c r="F4" s="245"/>
      <c r="G4" s="245"/>
      <c r="H4" s="246"/>
      <c r="I4" s="246"/>
      <c r="J4" s="246"/>
      <c r="K4" s="225"/>
      <c r="L4" s="225"/>
      <c r="M4" s="225"/>
      <c r="N4" s="225"/>
      <c r="O4" s="225"/>
    </row>
    <row r="5" spans="2:15" s="223" customFormat="1" ht="16.5" customHeight="1">
      <c r="B5" s="377" t="s">
        <v>457</v>
      </c>
      <c r="C5" s="814" t="s">
        <v>429</v>
      </c>
      <c r="D5" s="814"/>
      <c r="E5" s="814"/>
      <c r="F5" s="814"/>
      <c r="G5" s="814"/>
      <c r="H5" s="814"/>
      <c r="I5" s="814"/>
      <c r="J5" s="814"/>
      <c r="K5" s="814"/>
      <c r="L5" s="814"/>
      <c r="M5" s="814"/>
      <c r="N5" s="814"/>
      <c r="O5" s="814"/>
    </row>
    <row r="6" spans="2:15" ht="18">
      <c r="B6" s="377" t="s">
        <v>457</v>
      </c>
      <c r="C6" s="815" t="s">
        <v>430</v>
      </c>
      <c r="D6" s="815"/>
      <c r="E6" s="815"/>
      <c r="F6" s="815"/>
      <c r="G6" s="815"/>
      <c r="H6" s="815"/>
      <c r="I6" s="815"/>
      <c r="J6" s="815"/>
      <c r="K6" s="815"/>
      <c r="L6" s="815"/>
      <c r="M6" s="815"/>
      <c r="N6" s="815"/>
      <c r="O6" s="815"/>
    </row>
    <row r="7" spans="3:15" ht="19.5" customHeight="1" thickBot="1">
      <c r="C7" s="248"/>
      <c r="D7" s="246"/>
      <c r="E7" s="246"/>
      <c r="F7" s="246"/>
      <c r="G7" s="246"/>
      <c r="H7" s="249"/>
      <c r="I7" s="246"/>
      <c r="J7" s="246"/>
      <c r="K7" s="225"/>
      <c r="L7" s="225"/>
      <c r="M7" s="225"/>
      <c r="N7" s="225"/>
      <c r="O7" s="225"/>
    </row>
    <row r="8" spans="2:15" ht="19.5" customHeight="1" thickTop="1">
      <c r="B8" s="378" t="s">
        <v>24</v>
      </c>
      <c r="C8" s="379"/>
      <c r="D8" s="380"/>
      <c r="E8" s="381"/>
      <c r="F8" s="247"/>
      <c r="G8" s="247"/>
      <c r="H8" s="250"/>
      <c r="I8" s="246"/>
      <c r="J8" s="246"/>
      <c r="K8" s="225"/>
      <c r="L8" s="225"/>
      <c r="M8" s="225"/>
      <c r="N8" s="225"/>
      <c r="O8" s="225"/>
    </row>
    <row r="9" spans="2:15" ht="14.25" customHeight="1">
      <c r="B9" s="382"/>
      <c r="C9" s="383" t="s">
        <v>294</v>
      </c>
      <c r="D9" s="320" t="s">
        <v>217</v>
      </c>
      <c r="E9" s="251"/>
      <c r="F9" s="247"/>
      <c r="G9" s="247"/>
      <c r="H9" s="252"/>
      <c r="I9" s="246"/>
      <c r="J9" s="246"/>
      <c r="K9" s="225"/>
      <c r="L9" s="225"/>
      <c r="M9" s="225"/>
      <c r="N9" s="225"/>
      <c r="O9" s="225"/>
    </row>
    <row r="10" spans="2:15" ht="14.25" customHeight="1">
      <c r="B10" s="382"/>
      <c r="C10" s="383" t="s">
        <v>352</v>
      </c>
      <c r="D10" s="427"/>
      <c r="E10" s="251"/>
      <c r="F10" s="247"/>
      <c r="G10" s="247"/>
      <c r="H10" s="252"/>
      <c r="I10" s="246"/>
      <c r="J10" s="246"/>
      <c r="K10" s="225"/>
      <c r="L10" s="225"/>
      <c r="M10" s="225"/>
      <c r="N10" s="225"/>
      <c r="O10" s="225"/>
    </row>
    <row r="11" spans="2:15" ht="15" customHeight="1" thickBot="1">
      <c r="B11" s="253"/>
      <c r="C11" s="228"/>
      <c r="D11" s="254"/>
      <c r="E11" s="255"/>
      <c r="F11" s="247"/>
      <c r="G11" s="247"/>
      <c r="H11" s="252"/>
      <c r="I11" s="246"/>
      <c r="J11" s="246"/>
      <c r="K11" s="225"/>
      <c r="L11" s="225"/>
      <c r="M11" s="225"/>
      <c r="N11" s="225"/>
      <c r="O11" s="225"/>
    </row>
    <row r="12" spans="2:16" ht="12.75" customHeight="1" thickBot="1" thickTop="1">
      <c r="B12" s="228"/>
      <c r="C12" s="256"/>
      <c r="D12" s="257"/>
      <c r="E12" s="256"/>
      <c r="F12" s="256"/>
      <c r="G12" s="256"/>
      <c r="H12" s="257"/>
      <c r="I12" s="256"/>
      <c r="J12" s="258"/>
      <c r="K12" s="229"/>
      <c r="L12" s="229"/>
      <c r="M12" s="229"/>
      <c r="N12" s="229"/>
      <c r="O12" s="229"/>
      <c r="P12" s="228"/>
    </row>
    <row r="13" spans="1:16" s="231" customFormat="1" ht="15.75" thickTop="1">
      <c r="A13" s="230"/>
      <c r="B13" s="272" t="s">
        <v>324</v>
      </c>
      <c r="C13" s="270"/>
      <c r="D13" s="270"/>
      <c r="E13" s="270"/>
      <c r="F13" s="270"/>
      <c r="G13" s="270"/>
      <c r="H13" s="270"/>
      <c r="I13" s="270"/>
      <c r="J13" s="270"/>
      <c r="K13" s="270"/>
      <c r="L13" s="270"/>
      <c r="M13" s="270"/>
      <c r="N13" s="270"/>
      <c r="O13" s="270"/>
      <c r="P13" s="271"/>
    </row>
    <row r="14" spans="1:17" s="233" customFormat="1" ht="12.75" customHeight="1">
      <c r="A14" s="232"/>
      <c r="B14" s="272"/>
      <c r="C14" s="275"/>
      <c r="D14" s="276"/>
      <c r="E14" s="275"/>
      <c r="F14" s="275"/>
      <c r="G14" s="275"/>
      <c r="H14" s="275"/>
      <c r="I14" s="275"/>
      <c r="J14" s="275"/>
      <c r="K14" s="275"/>
      <c r="L14" s="275"/>
      <c r="M14" s="275"/>
      <c r="N14" s="275"/>
      <c r="O14" s="275"/>
      <c r="P14" s="277"/>
      <c r="Q14" s="232"/>
    </row>
    <row r="15" spans="1:74" s="235" customFormat="1" ht="12.75" customHeight="1">
      <c r="A15" s="234"/>
      <c r="B15" s="278"/>
      <c r="C15" s="820" t="s">
        <v>240</v>
      </c>
      <c r="D15" s="826" t="s">
        <v>302</v>
      </c>
      <c r="E15" s="826"/>
      <c r="F15" s="822" t="s">
        <v>407</v>
      </c>
      <c r="G15" s="812" t="s">
        <v>237</v>
      </c>
      <c r="H15" s="813"/>
      <c r="I15" s="812" t="s">
        <v>290</v>
      </c>
      <c r="J15" s="825"/>
      <c r="K15" s="813"/>
      <c r="L15" s="817" t="s">
        <v>287</v>
      </c>
      <c r="M15" s="818"/>
      <c r="N15" s="818"/>
      <c r="O15" s="819"/>
      <c r="P15" s="286"/>
      <c r="Q15" s="234"/>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row>
    <row r="16" spans="1:74" s="235" customFormat="1" ht="15" customHeight="1">
      <c r="A16" s="234"/>
      <c r="B16" s="278"/>
      <c r="C16" s="821"/>
      <c r="D16" s="792" t="s">
        <v>408</v>
      </c>
      <c r="E16" s="794" t="s">
        <v>282</v>
      </c>
      <c r="F16" s="823"/>
      <c r="G16" s="800" t="s">
        <v>288</v>
      </c>
      <c r="H16" s="788" t="s">
        <v>289</v>
      </c>
      <c r="I16" s="259" t="s">
        <v>397</v>
      </c>
      <c r="J16" s="260" t="s">
        <v>398</v>
      </c>
      <c r="K16" s="260" t="s">
        <v>399</v>
      </c>
      <c r="L16" s="259" t="s">
        <v>397</v>
      </c>
      <c r="M16" s="260" t="s">
        <v>398</v>
      </c>
      <c r="N16" s="260" t="s">
        <v>399</v>
      </c>
      <c r="O16" s="171" t="s">
        <v>299</v>
      </c>
      <c r="P16" s="286"/>
      <c r="Q16" s="234"/>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row>
    <row r="17" spans="1:74" s="238" customFormat="1" ht="59.25" customHeight="1">
      <c r="A17" s="236"/>
      <c r="B17" s="279"/>
      <c r="C17" s="177" t="s">
        <v>301</v>
      </c>
      <c r="D17" s="793"/>
      <c r="E17" s="794"/>
      <c r="F17" s="824"/>
      <c r="G17" s="800"/>
      <c r="H17" s="789"/>
      <c r="I17" s="170" t="s">
        <v>432</v>
      </c>
      <c r="J17" s="170" t="s">
        <v>433</v>
      </c>
      <c r="K17" s="170" t="s">
        <v>434</v>
      </c>
      <c r="L17" s="169" t="s">
        <v>413</v>
      </c>
      <c r="M17" s="169" t="s">
        <v>414</v>
      </c>
      <c r="N17" s="169" t="s">
        <v>415</v>
      </c>
      <c r="O17" s="171" t="s">
        <v>435</v>
      </c>
      <c r="P17" s="287"/>
      <c r="Q17" s="236"/>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16" s="240" customFormat="1" ht="15" customHeight="1">
      <c r="A18" s="239"/>
      <c r="B18" s="280"/>
      <c r="C18" s="261" t="str">
        <f>'Emission Factors'!C10</f>
        <v>Propane - Onsite transportation</v>
      </c>
      <c r="D18" s="269"/>
      <c r="E18" s="262" t="str">
        <f>'Emission Factors'!D8</f>
        <v>kL</v>
      </c>
      <c r="F18" s="262" t="str">
        <f>'Emission Factors'!H10</f>
        <v>kL</v>
      </c>
      <c r="G18" s="263" t="str">
        <f>IF('Carbon Contents and HHVs'!F11="","HHV not provided",'Carbon Contents and HHVs'!F11)</f>
        <v>HHV not provided</v>
      </c>
      <c r="H18" s="429" t="str">
        <f>IF(G18="HHV not provided","N/Av",D18*G18)</f>
        <v>N/Av</v>
      </c>
      <c r="I18" s="264">
        <f>'Emission Factors'!E10</f>
        <v>1515</v>
      </c>
      <c r="J18" s="265">
        <f>'Emission Factors'!F10</f>
        <v>0.64</v>
      </c>
      <c r="K18" s="265">
        <f>'Emission Factors'!G10</f>
        <v>0.087</v>
      </c>
      <c r="L18" s="720">
        <f>_xlfn.IFERROR(D18*I18/1000,0)</f>
        <v>0</v>
      </c>
      <c r="M18" s="720">
        <f>_xlfn.IFERROR(IF(H18="N/Av",D18*J18/1000,H18*J18/1000),0)</f>
        <v>0</v>
      </c>
      <c r="N18" s="720">
        <f>_xlfn.IFERROR(IF(H18="N/Av",D18*K18/1000,H18*K18/1000),0)</f>
        <v>0</v>
      </c>
      <c r="O18" s="720">
        <f aca="true" t="shared" si="0" ref="O18:O31">L18+GWPCH4*M18+GWPN2O*N18</f>
        <v>0</v>
      </c>
      <c r="P18" s="288"/>
    </row>
    <row r="19" spans="1:16" s="240" customFormat="1" ht="15" customHeight="1">
      <c r="A19" s="239"/>
      <c r="B19" s="280"/>
      <c r="C19" s="261" t="str">
        <f>'Emission Factors'!C13</f>
        <v>Diesel - Onsite transportation, &lt; 19 kW</v>
      </c>
      <c r="D19" s="269"/>
      <c r="E19" s="262" t="str">
        <f>'Emission Factors'!D11</f>
        <v>kL</v>
      </c>
      <c r="F19" s="262" t="str">
        <f>'Emission Factors'!H11</f>
        <v>kL</v>
      </c>
      <c r="G19" s="263" t="str">
        <f>IF('Carbon Contents and HHVs'!F14="","HHV not provided",'Carbon Contents and HHVs'!F14)</f>
        <v>HHV not provided</v>
      </c>
      <c r="H19" s="429" t="str">
        <f aca="true" t="shared" si="1" ref="H19:H31">IF(G19="HHV not provided","N/Av",D19*G19)</f>
        <v>N/Av</v>
      </c>
      <c r="I19" s="264">
        <f>'Emission Factors'!E13</f>
        <v>2681</v>
      </c>
      <c r="J19" s="265">
        <f>'Emission Factors'!F13</f>
        <v>0.073</v>
      </c>
      <c r="K19" s="265">
        <f>'Emission Factors'!G13</f>
        <v>0.02</v>
      </c>
      <c r="L19" s="720">
        <f aca="true" t="shared" si="2" ref="L19:L30">_xlfn.IFERROR(D19*I19/1000,0)</f>
        <v>0</v>
      </c>
      <c r="M19" s="720">
        <f aca="true" t="shared" si="3" ref="M19:M30">_xlfn.IFERROR(IF(H19="N/Av",D19*J19/1000,H19*J19/1000),0)</f>
        <v>0</v>
      </c>
      <c r="N19" s="720">
        <f aca="true" t="shared" si="4" ref="N19:N30">_xlfn.IFERROR(IF(H19="N/Av",D19*K19/1000,H19*K19/1000),0)</f>
        <v>0</v>
      </c>
      <c r="O19" s="720">
        <f t="shared" si="0"/>
        <v>0</v>
      </c>
      <c r="P19" s="288"/>
    </row>
    <row r="20" spans="1:16" s="240" customFormat="1" ht="15" customHeight="1">
      <c r="A20" s="239"/>
      <c r="B20" s="280"/>
      <c r="C20" s="261" t="str">
        <f>'Emission Factors'!C14</f>
        <v>Diesel - Onsite transportation, &gt;= 19 kW, Tier 1-3</v>
      </c>
      <c r="D20" s="269"/>
      <c r="E20" s="262" t="str">
        <f>'Emission Factors'!D12</f>
        <v>kL</v>
      </c>
      <c r="F20" s="262" t="str">
        <f>'Emission Factors'!H12</f>
        <v>kL</v>
      </c>
      <c r="G20" s="263" t="str">
        <f>IF('Carbon Contents and HHVs'!F15="","HHV not provided",'Carbon Contents and HHVs'!F15)</f>
        <v>HHV not provided</v>
      </c>
      <c r="H20" s="429" t="str">
        <f t="shared" si="1"/>
        <v>N/Av</v>
      </c>
      <c r="I20" s="264">
        <f>'Emission Factors'!E14</f>
        <v>2681</v>
      </c>
      <c r="J20" s="265">
        <f>'Emission Factors'!F14</f>
        <v>0.073</v>
      </c>
      <c r="K20" s="265">
        <f>'Emission Factors'!G14</f>
        <v>0.02</v>
      </c>
      <c r="L20" s="720">
        <f t="shared" si="2"/>
        <v>0</v>
      </c>
      <c r="M20" s="720">
        <f t="shared" si="3"/>
        <v>0</v>
      </c>
      <c r="N20" s="720">
        <f t="shared" si="4"/>
        <v>0</v>
      </c>
      <c r="O20" s="720">
        <f t="shared" si="0"/>
        <v>0</v>
      </c>
      <c r="P20" s="288"/>
    </row>
    <row r="21" spans="1:16" s="240" customFormat="1" ht="15" customHeight="1">
      <c r="A21" s="239"/>
      <c r="B21" s="280"/>
      <c r="C21" s="261" t="str">
        <f>'Emission Factors'!C15</f>
        <v>Diesel - Onsite transportation, &gt;= 19 kW, Tier 1-4</v>
      </c>
      <c r="D21" s="269"/>
      <c r="E21" s="262" t="str">
        <f>'Emission Factors'!D13</f>
        <v>kL</v>
      </c>
      <c r="F21" s="262" t="str">
        <f>'Emission Factors'!H13</f>
        <v>kL</v>
      </c>
      <c r="G21" s="263" t="str">
        <f>IF('Carbon Contents and HHVs'!F16="","HHV not provided",'Carbon Contents and HHVs'!F16)</f>
        <v>HHV not provided</v>
      </c>
      <c r="H21" s="429" t="str">
        <f t="shared" si="1"/>
        <v>N/Av</v>
      </c>
      <c r="I21" s="264">
        <f>'Emission Factors'!E15</f>
        <v>2681</v>
      </c>
      <c r="J21" s="265">
        <f>'Emission Factors'!F15</f>
        <v>0.073</v>
      </c>
      <c r="K21" s="265">
        <f>'Emission Factors'!G15</f>
        <v>0.23</v>
      </c>
      <c r="L21" s="720">
        <f t="shared" si="2"/>
        <v>0</v>
      </c>
      <c r="M21" s="720">
        <f t="shared" si="3"/>
        <v>0</v>
      </c>
      <c r="N21" s="720">
        <f t="shared" si="4"/>
        <v>0</v>
      </c>
      <c r="O21" s="720">
        <f t="shared" si="0"/>
        <v>0</v>
      </c>
      <c r="P21" s="288"/>
    </row>
    <row r="22" spans="1:16" s="240" customFormat="1" ht="15" customHeight="1">
      <c r="A22" s="239"/>
      <c r="B22" s="280"/>
      <c r="C22" s="261" t="str">
        <f>'Emission Factors'!C17</f>
        <v>Gasoline - Onsite transportation, 2-stroke</v>
      </c>
      <c r="D22" s="269"/>
      <c r="E22" s="262" t="str">
        <f>'Emission Factors'!D15</f>
        <v>kL</v>
      </c>
      <c r="F22" s="262" t="str">
        <f>'Emission Factors'!H14</f>
        <v>kL</v>
      </c>
      <c r="G22" s="263" t="str">
        <f>IF('Carbon Contents and HHVs'!F18="","HHV not provided",'Carbon Contents and HHVs'!F18)</f>
        <v>HHV not provided</v>
      </c>
      <c r="H22" s="429" t="str">
        <f t="shared" si="1"/>
        <v>N/Av</v>
      </c>
      <c r="I22" s="264">
        <f>'Emission Factors'!E17</f>
        <v>2307</v>
      </c>
      <c r="J22" s="265">
        <f>'Emission Factors'!F17</f>
        <v>10.6</v>
      </c>
      <c r="K22" s="265">
        <f>'Emission Factors'!G17</f>
        <v>0.013</v>
      </c>
      <c r="L22" s="720">
        <f t="shared" si="2"/>
        <v>0</v>
      </c>
      <c r="M22" s="720">
        <f t="shared" si="3"/>
        <v>0</v>
      </c>
      <c r="N22" s="720">
        <f t="shared" si="4"/>
        <v>0</v>
      </c>
      <c r="O22" s="720">
        <f t="shared" si="0"/>
        <v>0</v>
      </c>
      <c r="P22" s="288"/>
    </row>
    <row r="23" spans="1:16" s="240" customFormat="1" ht="15" customHeight="1">
      <c r="A23" s="239"/>
      <c r="B23" s="280"/>
      <c r="C23" s="261" t="str">
        <f>'Emission Factors'!C18</f>
        <v>Gasoline - Onsite transportation, 4-stroke</v>
      </c>
      <c r="D23" s="269"/>
      <c r="E23" s="262" t="str">
        <f>'Emission Factors'!D16</f>
        <v>kL</v>
      </c>
      <c r="F23" s="262" t="str">
        <f>'Emission Factors'!H15</f>
        <v>kL</v>
      </c>
      <c r="G23" s="263" t="str">
        <f>IF('Carbon Contents and HHVs'!F19="","HHV not provided",'Carbon Contents and HHVs'!F19)</f>
        <v>HHV not provided</v>
      </c>
      <c r="H23" s="429" t="str">
        <f t="shared" si="1"/>
        <v>N/Av</v>
      </c>
      <c r="I23" s="264">
        <f>'Emission Factors'!E18</f>
        <v>2307</v>
      </c>
      <c r="J23" s="265">
        <f>'Emission Factors'!F18</f>
        <v>5.08</v>
      </c>
      <c r="K23" s="265">
        <f>'Emission Factors'!G18</f>
        <v>0.064</v>
      </c>
      <c r="L23" s="720">
        <f t="shared" si="2"/>
        <v>0</v>
      </c>
      <c r="M23" s="720">
        <f t="shared" si="3"/>
        <v>0</v>
      </c>
      <c r="N23" s="720">
        <f t="shared" si="4"/>
        <v>0</v>
      </c>
      <c r="O23" s="720">
        <f t="shared" si="0"/>
        <v>0</v>
      </c>
      <c r="P23" s="288"/>
    </row>
    <row r="24" spans="1:16" s="240" customFormat="1" ht="15" customHeight="1">
      <c r="A24" s="239"/>
      <c r="B24" s="280"/>
      <c r="C24" s="261" t="str">
        <f>'Emission Factors'!C19</f>
        <v>Ethanol - Stationary combustion</v>
      </c>
      <c r="D24" s="269"/>
      <c r="E24" s="262" t="str">
        <f>'Emission Factors'!D17</f>
        <v>kL</v>
      </c>
      <c r="F24" s="262" t="str">
        <f>'Emission Factors'!H16</f>
        <v>kL</v>
      </c>
      <c r="G24" s="263" t="str">
        <f>IF('Carbon Contents and HHVs'!F20="","HHV not provided",'Carbon Contents and HHVs'!F20)</f>
        <v>HHV not provided</v>
      </c>
      <c r="H24" s="429" t="str">
        <f t="shared" si="1"/>
        <v>N/Av</v>
      </c>
      <c r="I24" s="264">
        <v>0</v>
      </c>
      <c r="J24" s="265">
        <f>'Emission Factors'!F19</f>
        <v>0.1</v>
      </c>
      <c r="K24" s="265">
        <f>'Emission Factors'!G19</f>
        <v>0.02</v>
      </c>
      <c r="L24" s="720">
        <f t="shared" si="2"/>
        <v>0</v>
      </c>
      <c r="M24" s="720">
        <f t="shared" si="3"/>
        <v>0</v>
      </c>
      <c r="N24" s="720">
        <f t="shared" si="4"/>
        <v>0</v>
      </c>
      <c r="O24" s="720">
        <f t="shared" si="0"/>
        <v>0</v>
      </c>
      <c r="P24" s="288"/>
    </row>
    <row r="25" spans="1:16" s="240" customFormat="1" ht="15" customHeight="1">
      <c r="A25" s="239"/>
      <c r="B25" s="280"/>
      <c r="C25" s="261" t="str">
        <f>'Emission Factors'!C20</f>
        <v>Ethanol - Onsite transportation, 2-stroke</v>
      </c>
      <c r="D25" s="269"/>
      <c r="E25" s="262" t="str">
        <f>'Emission Factors'!D18</f>
        <v>kL</v>
      </c>
      <c r="F25" s="262" t="str">
        <f>'Emission Factors'!H17</f>
        <v>kL</v>
      </c>
      <c r="G25" s="263" t="str">
        <f>IF('Carbon Contents and HHVs'!F21="","HHV not provided",'Carbon Contents and HHVs'!F21)</f>
        <v>HHV not provided</v>
      </c>
      <c r="H25" s="429" t="str">
        <f t="shared" si="1"/>
        <v>N/Av</v>
      </c>
      <c r="I25" s="264">
        <v>0</v>
      </c>
      <c r="J25" s="265">
        <f>'Emission Factors'!F20</f>
        <v>10.6</v>
      </c>
      <c r="K25" s="265">
        <f>'Emission Factors'!G20</f>
        <v>0.013</v>
      </c>
      <c r="L25" s="720">
        <f t="shared" si="2"/>
        <v>0</v>
      </c>
      <c r="M25" s="720">
        <f t="shared" si="3"/>
        <v>0</v>
      </c>
      <c r="N25" s="720">
        <f t="shared" si="4"/>
        <v>0</v>
      </c>
      <c r="O25" s="720">
        <f t="shared" si="0"/>
        <v>0</v>
      </c>
      <c r="P25" s="288"/>
    </row>
    <row r="26" spans="1:16" s="240" customFormat="1" ht="15" customHeight="1">
      <c r="A26" s="239"/>
      <c r="B26" s="280"/>
      <c r="C26" s="261" t="str">
        <f>'Emission Factors'!C21</f>
        <v>Ethanol - Onsite transportation, 4-stroke</v>
      </c>
      <c r="D26" s="269"/>
      <c r="E26" s="262" t="str">
        <f>'Emission Factors'!D19</f>
        <v>kL</v>
      </c>
      <c r="F26" s="262" t="str">
        <f>'Emission Factors'!H18</f>
        <v>kL</v>
      </c>
      <c r="G26" s="263" t="str">
        <f>IF('Carbon Contents and HHVs'!F22="","HHV not provided",'Carbon Contents and HHVs'!F22)</f>
        <v>HHV not provided</v>
      </c>
      <c r="H26" s="429" t="str">
        <f t="shared" si="1"/>
        <v>N/Av</v>
      </c>
      <c r="I26" s="264">
        <v>0</v>
      </c>
      <c r="J26" s="265">
        <f>'Emission Factors'!F21</f>
        <v>5.08</v>
      </c>
      <c r="K26" s="265">
        <f>'Emission Factors'!G21</f>
        <v>0.064</v>
      </c>
      <c r="L26" s="720">
        <f t="shared" si="2"/>
        <v>0</v>
      </c>
      <c r="M26" s="720">
        <f t="shared" si="3"/>
        <v>0</v>
      </c>
      <c r="N26" s="720">
        <f t="shared" si="4"/>
        <v>0</v>
      </c>
      <c r="O26" s="720">
        <f t="shared" si="0"/>
        <v>0</v>
      </c>
      <c r="P26" s="288"/>
    </row>
    <row r="27" spans="1:16" s="240" customFormat="1" ht="15" customHeight="1">
      <c r="A27" s="239"/>
      <c r="B27" s="280"/>
      <c r="C27" s="261" t="str">
        <f>'Emission Factors'!C22</f>
        <v>Biodiesel - Stationary combustion</v>
      </c>
      <c r="D27" s="269"/>
      <c r="E27" s="262" t="str">
        <f>'Emission Factors'!D20</f>
        <v>kL</v>
      </c>
      <c r="F27" s="262" t="str">
        <f>'Emission Factors'!H19</f>
        <v>kL</v>
      </c>
      <c r="G27" s="263" t="str">
        <f>IF('Carbon Contents and HHVs'!F23="","HHV not provided",'Carbon Contents and HHVs'!F23)</f>
        <v>HHV not provided</v>
      </c>
      <c r="H27" s="429" t="str">
        <f t="shared" si="1"/>
        <v>N/Av</v>
      </c>
      <c r="I27" s="264">
        <v>0</v>
      </c>
      <c r="J27" s="265">
        <f>'Emission Factors'!F22</f>
        <v>0.078</v>
      </c>
      <c r="K27" s="265">
        <f>'Emission Factors'!G22</f>
        <v>0.02</v>
      </c>
      <c r="L27" s="720">
        <f t="shared" si="2"/>
        <v>0</v>
      </c>
      <c r="M27" s="720">
        <f t="shared" si="3"/>
        <v>0</v>
      </c>
      <c r="N27" s="720">
        <f t="shared" si="4"/>
        <v>0</v>
      </c>
      <c r="O27" s="720">
        <f t="shared" si="0"/>
        <v>0</v>
      </c>
      <c r="P27" s="288"/>
    </row>
    <row r="28" spans="1:16" s="240" customFormat="1" ht="15" customHeight="1">
      <c r="A28" s="239"/>
      <c r="B28" s="280"/>
      <c r="C28" s="261" t="str">
        <f>'Emission Factors'!C23</f>
        <v>Biodiesel - Onsite transportation, &lt; 19 kW</v>
      </c>
      <c r="D28" s="269"/>
      <c r="E28" s="262" t="str">
        <f>'Emission Factors'!D21</f>
        <v>kL</v>
      </c>
      <c r="F28" s="262" t="str">
        <f>'Emission Factors'!H20</f>
        <v>kL</v>
      </c>
      <c r="G28" s="263" t="str">
        <f>IF('Carbon Contents and HHVs'!F24="","HHV not provided",'Carbon Contents and HHVs'!F24)</f>
        <v>HHV not provided</v>
      </c>
      <c r="H28" s="429" t="str">
        <f t="shared" si="1"/>
        <v>N/Av</v>
      </c>
      <c r="I28" s="264">
        <v>0</v>
      </c>
      <c r="J28" s="265">
        <f>'Emission Factors'!F23</f>
        <v>0.073</v>
      </c>
      <c r="K28" s="265">
        <f>'Emission Factors'!G23</f>
        <v>0.02</v>
      </c>
      <c r="L28" s="720">
        <f t="shared" si="2"/>
        <v>0</v>
      </c>
      <c r="M28" s="720">
        <f t="shared" si="3"/>
        <v>0</v>
      </c>
      <c r="N28" s="720">
        <f t="shared" si="4"/>
        <v>0</v>
      </c>
      <c r="O28" s="720">
        <f t="shared" si="0"/>
        <v>0</v>
      </c>
      <c r="P28" s="288"/>
    </row>
    <row r="29" spans="1:16" s="240" customFormat="1" ht="15" customHeight="1">
      <c r="A29" s="239"/>
      <c r="B29" s="280"/>
      <c r="C29" s="261" t="str">
        <f>'Emission Factors'!C24</f>
        <v>Biodiesel - Onsite transportation, &gt;= 19 kW, Tier 1-3</v>
      </c>
      <c r="D29" s="269"/>
      <c r="E29" s="262" t="str">
        <f>'Emission Factors'!D22</f>
        <v>kL</v>
      </c>
      <c r="F29" s="262" t="str">
        <f>'Emission Factors'!H21</f>
        <v>kL</v>
      </c>
      <c r="G29" s="263" t="str">
        <f>IF('Carbon Contents and HHVs'!F25="","HHV not provided",'Carbon Contents and HHVs'!F25)</f>
        <v>HHV not provided</v>
      </c>
      <c r="H29" s="429" t="str">
        <f t="shared" si="1"/>
        <v>N/Av</v>
      </c>
      <c r="I29" s="264">
        <v>0</v>
      </c>
      <c r="J29" s="265">
        <f>'Emission Factors'!F24</f>
        <v>0.073</v>
      </c>
      <c r="K29" s="265">
        <f>'Emission Factors'!G24</f>
        <v>0.02</v>
      </c>
      <c r="L29" s="720">
        <f t="shared" si="2"/>
        <v>0</v>
      </c>
      <c r="M29" s="720">
        <f t="shared" si="3"/>
        <v>0</v>
      </c>
      <c r="N29" s="720">
        <f t="shared" si="4"/>
        <v>0</v>
      </c>
      <c r="O29" s="720">
        <f t="shared" si="0"/>
        <v>0</v>
      </c>
      <c r="P29" s="288"/>
    </row>
    <row r="30" spans="1:16" s="240" customFormat="1" ht="15" customHeight="1">
      <c r="A30" s="239"/>
      <c r="B30" s="280"/>
      <c r="C30" s="261" t="str">
        <f>'Emission Factors'!C25</f>
        <v>Biodiesel - Onsite transportation, &gt;= 19 kW, Tier 1-4</v>
      </c>
      <c r="D30" s="269"/>
      <c r="E30" s="262" t="str">
        <f>'Emission Factors'!D23</f>
        <v>kL</v>
      </c>
      <c r="F30" s="262" t="str">
        <f>'Emission Factors'!H22</f>
        <v>kL</v>
      </c>
      <c r="G30" s="263" t="str">
        <f>IF('Carbon Contents and HHVs'!F26="","HHV not provided",'Carbon Contents and HHVs'!F26)</f>
        <v>HHV not provided</v>
      </c>
      <c r="H30" s="429" t="str">
        <f t="shared" si="1"/>
        <v>N/Av</v>
      </c>
      <c r="I30" s="264">
        <v>0</v>
      </c>
      <c r="J30" s="265">
        <f>'Emission Factors'!F25</f>
        <v>0.073</v>
      </c>
      <c r="K30" s="265">
        <f>'Emission Factors'!G25</f>
        <v>0.23</v>
      </c>
      <c r="L30" s="720">
        <f t="shared" si="2"/>
        <v>0</v>
      </c>
      <c r="M30" s="720">
        <f t="shared" si="3"/>
        <v>0</v>
      </c>
      <c r="N30" s="720">
        <f t="shared" si="4"/>
        <v>0</v>
      </c>
      <c r="O30" s="720">
        <f t="shared" si="0"/>
        <v>0</v>
      </c>
      <c r="P30" s="288"/>
    </row>
    <row r="31" spans="1:16" s="240" customFormat="1" ht="62.25">
      <c r="A31" s="239"/>
      <c r="B31" s="280"/>
      <c r="C31" s="266" t="str">
        <f>'Emission Factors'!C34</f>
        <v>Natural gas - Onsite transportation*</v>
      </c>
      <c r="D31" s="269"/>
      <c r="E31" s="267" t="str">
        <f>'Emission Factors'!D34</f>
        <v>m3</v>
      </c>
      <c r="F31" s="267" t="str">
        <f>'Emission Factors'!H34</f>
        <v>m3</v>
      </c>
      <c r="G31" s="263" t="str">
        <f>IF('Carbon Contents and HHVs'!F35="","HHV not provided",'Carbon Contents and HHVs'!F35)</f>
        <v>HHV not provided</v>
      </c>
      <c r="H31" s="429" t="str">
        <f t="shared" si="1"/>
        <v>N/Av</v>
      </c>
      <c r="I31" s="268" t="str">
        <f>'Emission Factors'!E34</f>
        <v>No carbon content or HHV provided</v>
      </c>
      <c r="J31" s="265">
        <f>'Emission Factors'!F34</f>
        <v>9</v>
      </c>
      <c r="K31" s="265">
        <f>'Emission Factors'!G34</f>
        <v>0.06</v>
      </c>
      <c r="L31" s="720">
        <f>_xlfn.IFERROR(D31*I31/1000,0)</f>
        <v>0</v>
      </c>
      <c r="M31" s="720">
        <f>_xlfn.IFERROR(IF(H31="N/Av",D31*J31/1000,H31*J31/1000),0)</f>
        <v>0</v>
      </c>
      <c r="N31" s="720">
        <f>_xlfn.IFERROR(IF(H31="N/Av",D31*K31/1000,H31*K31/1000),0)</f>
        <v>0</v>
      </c>
      <c r="O31" s="720">
        <f t="shared" si="0"/>
        <v>0</v>
      </c>
      <c r="P31" s="288"/>
    </row>
    <row r="32" spans="2:16" s="241" customFormat="1" ht="6.75" customHeight="1">
      <c r="B32" s="281"/>
      <c r="C32" s="284"/>
      <c r="D32" s="284"/>
      <c r="E32" s="284"/>
      <c r="F32" s="284"/>
      <c r="G32" s="284"/>
      <c r="H32" s="284"/>
      <c r="I32" s="284"/>
      <c r="J32" s="284"/>
      <c r="K32" s="284"/>
      <c r="L32" s="284"/>
      <c r="M32" s="284"/>
      <c r="N32" s="284"/>
      <c r="O32" s="284"/>
      <c r="P32" s="285"/>
    </row>
    <row r="33" spans="1:16" ht="15" customHeight="1">
      <c r="A33" s="231"/>
      <c r="B33" s="282"/>
      <c r="C33" s="273"/>
      <c r="D33" s="273"/>
      <c r="E33" s="273"/>
      <c r="F33" s="273"/>
      <c r="G33" s="273"/>
      <c r="H33" s="273"/>
      <c r="I33" s="273"/>
      <c r="J33" s="273"/>
      <c r="K33" s="290" t="s">
        <v>299</v>
      </c>
      <c r="L33" s="428">
        <f>SUM(L18:L31)</f>
        <v>0</v>
      </c>
      <c r="M33" s="428">
        <f>SUM(M18:M31)</f>
        <v>0</v>
      </c>
      <c r="N33" s="428">
        <f>SUM(N18:N31)</f>
        <v>0</v>
      </c>
      <c r="O33" s="428">
        <f>SUM(O18:O31)</f>
        <v>0</v>
      </c>
      <c r="P33" s="274"/>
    </row>
    <row r="34" spans="2:16" ht="15" customHeight="1" thickBot="1">
      <c r="B34" s="283"/>
      <c r="C34" s="291"/>
      <c r="D34" s="292"/>
      <c r="E34" s="292"/>
      <c r="F34" s="292"/>
      <c r="G34" s="292"/>
      <c r="H34" s="292"/>
      <c r="I34" s="292"/>
      <c r="J34" s="292"/>
      <c r="K34" s="292"/>
      <c r="L34" s="292"/>
      <c r="M34" s="292"/>
      <c r="N34" s="292"/>
      <c r="O34" s="292"/>
      <c r="P34" s="289"/>
    </row>
    <row r="35" ht="15" customHeight="1" thickTop="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sheetProtection password="CD08" sheet="1"/>
  <mergeCells count="13">
    <mergeCell ref="E16:E17"/>
    <mergeCell ref="D15:E15"/>
    <mergeCell ref="G16:G17"/>
    <mergeCell ref="G15:H15"/>
    <mergeCell ref="C5:O5"/>
    <mergeCell ref="C6:O6"/>
    <mergeCell ref="B2:O2"/>
    <mergeCell ref="L15:O15"/>
    <mergeCell ref="D16:D17"/>
    <mergeCell ref="H16:H17"/>
    <mergeCell ref="C15:C16"/>
    <mergeCell ref="F15:F17"/>
    <mergeCell ref="I15:K15"/>
  </mergeCells>
  <printOptions horizontalCentered="1" verticalCentered="1"/>
  <pageMargins left="0.75" right="0.75" top="0.75" bottom="1" header="0.5" footer="0.5"/>
  <pageSetup fitToHeight="2" fitToWidth="1" horizontalDpi="600" verticalDpi="600" orientation="landscape" scale="59" r:id="rId1"/>
  <headerFooter alignWithMargins="0">
    <oddHeader>&amp;L&amp;D&amp;R&amp;F</oddHeader>
  </headerFooter>
</worksheet>
</file>

<file path=xl/worksheets/sheet9.xml><?xml version="1.0" encoding="utf-8"?>
<worksheet xmlns="http://schemas.openxmlformats.org/spreadsheetml/2006/main" xmlns:r="http://schemas.openxmlformats.org/officeDocument/2006/relationships">
  <dimension ref="A1:M39"/>
  <sheetViews>
    <sheetView zoomScale="115" zoomScaleNormal="115" zoomScalePageLayoutView="0" workbookViewId="0" topLeftCell="A1">
      <selection activeCell="A1" sqref="A1"/>
    </sheetView>
  </sheetViews>
  <sheetFormatPr defaultColWidth="9.140625" defaultRowHeight="12.75"/>
  <cols>
    <col min="1" max="2" width="3.57421875" style="91" customWidth="1"/>
    <col min="3" max="3" width="48.140625" style="91" customWidth="1"/>
    <col min="4" max="4" width="20.140625" style="91" customWidth="1"/>
    <col min="5" max="5" width="11.140625" style="91" customWidth="1"/>
    <col min="6" max="6" width="22.421875" style="91" customWidth="1"/>
    <col min="7" max="7" width="18.8515625" style="91" customWidth="1"/>
    <col min="8" max="8" width="13.421875" style="91" customWidth="1"/>
    <col min="9" max="9" width="3.57421875" style="91" customWidth="1"/>
    <col min="10" max="16384" width="8.8515625" style="91" customWidth="1"/>
  </cols>
  <sheetData>
    <row r="1" spans="2:6" s="119" customFormat="1" ht="24" customHeight="1">
      <c r="B1" s="294" t="s">
        <v>12</v>
      </c>
      <c r="D1" s="293"/>
      <c r="E1" s="293"/>
      <c r="F1" s="125"/>
    </row>
    <row r="2" spans="2:8" s="119" customFormat="1" ht="20.25">
      <c r="B2" s="827" t="s">
        <v>460</v>
      </c>
      <c r="C2" s="827"/>
      <c r="D2" s="827"/>
      <c r="E2" s="827"/>
      <c r="F2" s="827"/>
      <c r="G2" s="827"/>
      <c r="H2" s="827"/>
    </row>
    <row r="3" spans="1:6" s="119" customFormat="1" ht="18" customHeight="1" thickBot="1">
      <c r="A3" s="91"/>
      <c r="C3" s="122"/>
      <c r="D3" s="122"/>
      <c r="E3" s="122"/>
      <c r="F3" s="121"/>
    </row>
    <row r="4" spans="1:6" s="119" customFormat="1" ht="18" thickTop="1">
      <c r="A4" s="91"/>
      <c r="B4" s="160" t="s">
        <v>24</v>
      </c>
      <c r="C4" s="321"/>
      <c r="D4" s="321"/>
      <c r="E4" s="322"/>
      <c r="F4" s="121"/>
    </row>
    <row r="5" spans="1:6" s="119" customFormat="1" ht="18" customHeight="1">
      <c r="A5" s="91"/>
      <c r="B5" s="784" t="s">
        <v>322</v>
      </c>
      <c r="C5" s="785"/>
      <c r="D5" s="323"/>
      <c r="E5" s="324"/>
      <c r="F5" s="121"/>
    </row>
    <row r="6" spans="1:6" s="119" customFormat="1" ht="18" customHeight="1">
      <c r="A6" s="91"/>
      <c r="B6" s="784" t="s">
        <v>37</v>
      </c>
      <c r="C6" s="785"/>
      <c r="D6" s="416"/>
      <c r="E6" s="325"/>
      <c r="F6" s="121"/>
    </row>
    <row r="7" spans="1:13" s="119" customFormat="1" ht="18" thickBot="1">
      <c r="A7" s="91"/>
      <c r="B7" s="164"/>
      <c r="C7" s="165"/>
      <c r="D7" s="165"/>
      <c r="E7" s="326"/>
      <c r="F7" s="125"/>
      <c r="G7" s="126"/>
      <c r="H7" s="126"/>
      <c r="I7" s="126"/>
      <c r="J7" s="126"/>
      <c r="K7" s="126"/>
      <c r="L7" s="126"/>
      <c r="M7" s="126"/>
    </row>
    <row r="8" ht="15" thickBot="1" thickTop="1"/>
    <row r="9" spans="2:11" s="119" customFormat="1" ht="18" thickTop="1">
      <c r="B9" s="140" t="s">
        <v>323</v>
      </c>
      <c r="C9" s="59"/>
      <c r="D9" s="308"/>
      <c r="E9" s="308"/>
      <c r="F9" s="94"/>
      <c r="G9" s="94"/>
      <c r="H9" s="94"/>
      <c r="I9" s="95"/>
      <c r="J9" s="126"/>
      <c r="K9" s="126"/>
    </row>
    <row r="10" spans="2:11" s="119" customFormat="1" ht="18">
      <c r="B10" s="335"/>
      <c r="C10" s="336"/>
      <c r="D10" s="337"/>
      <c r="E10" s="337"/>
      <c r="F10" s="97"/>
      <c r="G10" s="97"/>
      <c r="H10" s="97"/>
      <c r="I10" s="98"/>
      <c r="J10" s="126"/>
      <c r="K10" s="126"/>
    </row>
    <row r="11" spans="2:11" s="119" customFormat="1" ht="18">
      <c r="B11" s="96"/>
      <c r="C11" s="790" t="s">
        <v>240</v>
      </c>
      <c r="D11" s="828" t="s">
        <v>319</v>
      </c>
      <c r="E11" s="828"/>
      <c r="F11" s="327" t="s">
        <v>443</v>
      </c>
      <c r="G11" s="168" t="s">
        <v>444</v>
      </c>
      <c r="H11" s="340"/>
      <c r="I11" s="98"/>
      <c r="J11" s="126"/>
      <c r="K11" s="126"/>
    </row>
    <row r="12" spans="2:11" s="119" customFormat="1" ht="31.5" customHeight="1">
      <c r="B12" s="338"/>
      <c r="C12" s="791"/>
      <c r="D12" s="328" t="s">
        <v>408</v>
      </c>
      <c r="E12" s="328" t="s">
        <v>282</v>
      </c>
      <c r="F12" s="170" t="s">
        <v>432</v>
      </c>
      <c r="G12" s="328" t="s">
        <v>320</v>
      </c>
      <c r="H12" s="341"/>
      <c r="I12" s="98"/>
      <c r="J12" s="126"/>
      <c r="K12" s="126"/>
    </row>
    <row r="13" spans="2:11" s="119" customFormat="1" ht="18" customHeight="1">
      <c r="B13" s="96"/>
      <c r="C13" s="173" t="s">
        <v>285</v>
      </c>
      <c r="D13" s="263">
        <f>'Stationary Combustion'!D23</f>
        <v>0</v>
      </c>
      <c r="E13" s="263" t="str">
        <f>'Stationary Combustion'!E23</f>
        <v>kL</v>
      </c>
      <c r="F13" s="329">
        <f>'Emission Factors'!E19</f>
        <v>1508</v>
      </c>
      <c r="G13" s="430">
        <f aca="true" t="shared" si="0" ref="G13:G20">F13*D13/1000</f>
        <v>0</v>
      </c>
      <c r="H13" s="339"/>
      <c r="I13" s="98"/>
      <c r="J13" s="126"/>
      <c r="K13" s="126"/>
    </row>
    <row r="14" spans="2:11" s="119" customFormat="1" ht="18" customHeight="1">
      <c r="B14" s="96"/>
      <c r="C14" s="173" t="s">
        <v>286</v>
      </c>
      <c r="D14" s="263">
        <f>'Stationary Combustion'!D24</f>
        <v>0</v>
      </c>
      <c r="E14" s="263" t="str">
        <f>'Stationary Combustion'!E24</f>
        <v>kL</v>
      </c>
      <c r="F14" s="329">
        <f>'Emission Factors'!E22</f>
        <v>2472</v>
      </c>
      <c r="G14" s="430">
        <f t="shared" si="0"/>
        <v>0</v>
      </c>
      <c r="H14" s="339"/>
      <c r="I14" s="98"/>
      <c r="J14" s="126"/>
      <c r="K14" s="126"/>
    </row>
    <row r="15" spans="2:11" s="119" customFormat="1" ht="18" customHeight="1">
      <c r="B15" s="96"/>
      <c r="C15" s="173" t="s">
        <v>251</v>
      </c>
      <c r="D15" s="263">
        <f>'Stationary Combustion'!D36</f>
        <v>0</v>
      </c>
      <c r="E15" s="263" t="str">
        <f>'Stationary Combustion'!E36</f>
        <v>dry tonne</v>
      </c>
      <c r="F15" s="329">
        <f>'Emission Factors'!E36</f>
        <v>1715</v>
      </c>
      <c r="G15" s="430">
        <f t="shared" si="0"/>
        <v>0</v>
      </c>
      <c r="H15" s="339"/>
      <c r="I15" s="98"/>
      <c r="J15" s="126"/>
      <c r="K15" s="126"/>
    </row>
    <row r="16" spans="2:13" s="119" customFormat="1" ht="18" customHeight="1">
      <c r="B16" s="96"/>
      <c r="C16" s="173" t="s">
        <v>252</v>
      </c>
      <c r="D16" s="263">
        <f>'Stationary Combustion'!D37</f>
        <v>0</v>
      </c>
      <c r="E16" s="263" t="str">
        <f>'Stationary Combustion'!E37</f>
        <v>dry tonne</v>
      </c>
      <c r="F16" s="329">
        <f>'Emission Factors'!E37</f>
        <v>1270</v>
      </c>
      <c r="G16" s="430">
        <f t="shared" si="0"/>
        <v>0</v>
      </c>
      <c r="H16" s="339"/>
      <c r="I16" s="98"/>
      <c r="J16" s="126"/>
      <c r="K16" s="126"/>
      <c r="L16" s="126"/>
      <c r="M16" s="126"/>
    </row>
    <row r="17" spans="2:13" s="119" customFormat="1" ht="18" customHeight="1">
      <c r="B17" s="96"/>
      <c r="C17" s="173" t="s">
        <v>253</v>
      </c>
      <c r="D17" s="263">
        <f>'Stationary Combustion'!D38</f>
        <v>0</v>
      </c>
      <c r="E17" s="263" t="str">
        <f>'Stationary Combustion'!E38</f>
        <v>dry tonne</v>
      </c>
      <c r="F17" s="329">
        <f>'Emission Factors'!E38</f>
        <v>1230</v>
      </c>
      <c r="G17" s="430">
        <f t="shared" si="0"/>
        <v>0</v>
      </c>
      <c r="H17" s="339"/>
      <c r="I17" s="98"/>
      <c r="J17" s="126"/>
      <c r="K17" s="126"/>
      <c r="L17" s="126"/>
      <c r="M17" s="126"/>
    </row>
    <row r="18" spans="2:13" s="119" customFormat="1" ht="18" customHeight="1">
      <c r="B18" s="96"/>
      <c r="C18" s="173" t="s">
        <v>254</v>
      </c>
      <c r="D18" s="263">
        <f>'Stationary Combustion'!D39</f>
        <v>0</v>
      </c>
      <c r="E18" s="263" t="str">
        <f>'Stationary Combustion'!E39</f>
        <v>dry tonne</v>
      </c>
      <c r="F18" s="329">
        <f>'Emission Factors'!E39</f>
        <v>1320</v>
      </c>
      <c r="G18" s="430">
        <f t="shared" si="0"/>
        <v>0</v>
      </c>
      <c r="H18" s="339"/>
      <c r="I18" s="98"/>
      <c r="J18" s="126"/>
      <c r="K18" s="126"/>
      <c r="L18" s="126"/>
      <c r="M18" s="126"/>
    </row>
    <row r="19" spans="2:13" s="119" customFormat="1" ht="18" customHeight="1">
      <c r="B19" s="96"/>
      <c r="C19" s="173" t="s">
        <v>255</v>
      </c>
      <c r="D19" s="263">
        <f>'Stationary Combustion'!D40</f>
        <v>0</v>
      </c>
      <c r="E19" s="263" t="str">
        <f>'Stationary Combustion'!E40</f>
        <v>dry tonne</v>
      </c>
      <c r="F19" s="329">
        <f>'Emission Factors'!E40</f>
        <v>1715</v>
      </c>
      <c r="G19" s="430">
        <f t="shared" si="0"/>
        <v>0</v>
      </c>
      <c r="H19" s="339"/>
      <c r="I19" s="98"/>
      <c r="J19" s="126"/>
      <c r="K19" s="126"/>
      <c r="L19" s="126"/>
      <c r="M19" s="126"/>
    </row>
    <row r="20" spans="2:13" s="119" customFormat="1" ht="18" customHeight="1">
      <c r="B20" s="96"/>
      <c r="C20" s="173" t="s">
        <v>340</v>
      </c>
      <c r="D20" s="263">
        <f>'Stationary Combustion'!D41</f>
        <v>0</v>
      </c>
      <c r="E20" s="263" t="str">
        <f>'Stationary Combustion'!E41</f>
        <v>dry tonne</v>
      </c>
      <c r="F20" s="330"/>
      <c r="G20" s="430">
        <f t="shared" si="0"/>
        <v>0</v>
      </c>
      <c r="H20" s="339"/>
      <c r="I20" s="98"/>
      <c r="J20" s="126"/>
      <c r="K20" s="126"/>
      <c r="L20" s="126"/>
      <c r="M20" s="126"/>
    </row>
    <row r="21" spans="2:13" s="119" customFormat="1" ht="18" customHeight="1">
      <c r="B21" s="96"/>
      <c r="C21" s="108" t="s">
        <v>341</v>
      </c>
      <c r="D21" s="143"/>
      <c r="E21" s="143"/>
      <c r="F21" s="108"/>
      <c r="G21" s="336"/>
      <c r="H21" s="339"/>
      <c r="I21" s="98"/>
      <c r="J21" s="126"/>
      <c r="K21" s="126"/>
      <c r="L21" s="126"/>
      <c r="M21" s="126"/>
    </row>
    <row r="22" spans="2:9" s="119" customFormat="1" ht="18" customHeight="1">
      <c r="B22" s="107"/>
      <c r="C22" s="108"/>
      <c r="D22" s="143"/>
      <c r="E22" s="143"/>
      <c r="F22" s="108"/>
      <c r="G22" s="336"/>
      <c r="H22" s="336"/>
      <c r="I22" s="98"/>
    </row>
    <row r="23" spans="2:9" s="119" customFormat="1" ht="18" customHeight="1">
      <c r="B23" s="107"/>
      <c r="C23" s="829" t="s">
        <v>445</v>
      </c>
      <c r="D23" s="830"/>
      <c r="E23" s="830"/>
      <c r="F23" s="831"/>
      <c r="G23" s="421">
        <f>SUM(G13:G19)</f>
        <v>0</v>
      </c>
      <c r="H23" s="345" t="s">
        <v>321</v>
      </c>
      <c r="I23" s="98"/>
    </row>
    <row r="24" spans="2:9" s="119" customFormat="1" ht="32.25" customHeight="1">
      <c r="B24" s="107"/>
      <c r="C24" s="832" t="s">
        <v>446</v>
      </c>
      <c r="D24" s="833"/>
      <c r="E24" s="833"/>
      <c r="F24" s="833"/>
      <c r="G24" s="330"/>
      <c r="H24" s="345" t="s">
        <v>321</v>
      </c>
      <c r="I24" s="98"/>
    </row>
    <row r="25" spans="1:9" s="119" customFormat="1" ht="33" customHeight="1">
      <c r="A25" s="152"/>
      <c r="B25" s="107"/>
      <c r="C25" s="832" t="s">
        <v>447</v>
      </c>
      <c r="D25" s="833"/>
      <c r="E25" s="833"/>
      <c r="F25" s="833"/>
      <c r="G25" s="421">
        <f>G23-G24</f>
        <v>0</v>
      </c>
      <c r="H25" s="345" t="s">
        <v>321</v>
      </c>
      <c r="I25" s="98"/>
    </row>
    <row r="26" spans="1:9" s="119" customFormat="1" ht="18" customHeight="1" thickBot="1">
      <c r="A26" s="152"/>
      <c r="B26" s="145"/>
      <c r="C26" s="146"/>
      <c r="D26" s="342"/>
      <c r="E26" s="342"/>
      <c r="F26" s="343"/>
      <c r="G26" s="344"/>
      <c r="H26" s="100"/>
      <c r="I26" s="102"/>
    </row>
    <row r="27" ht="15" thickBot="1" thickTop="1"/>
    <row r="28" spans="2:12" s="119" customFormat="1" ht="18" thickTop="1">
      <c r="B28" s="140" t="s">
        <v>324</v>
      </c>
      <c r="C28" s="59"/>
      <c r="D28" s="308"/>
      <c r="E28" s="308"/>
      <c r="F28" s="94"/>
      <c r="G28" s="94"/>
      <c r="H28" s="94"/>
      <c r="I28" s="95"/>
      <c r="K28" s="126"/>
      <c r="L28" s="126"/>
    </row>
    <row r="29" spans="2:12" s="119" customFormat="1" ht="18">
      <c r="B29" s="335"/>
      <c r="C29" s="336"/>
      <c r="D29" s="337"/>
      <c r="E29" s="337"/>
      <c r="F29" s="97"/>
      <c r="G29" s="97"/>
      <c r="H29" s="97"/>
      <c r="I29" s="98"/>
      <c r="K29" s="126"/>
      <c r="L29" s="126"/>
    </row>
    <row r="30" spans="2:12" s="119" customFormat="1" ht="18">
      <c r="B30" s="96"/>
      <c r="C30" s="790" t="s">
        <v>240</v>
      </c>
      <c r="D30" s="828" t="s">
        <v>319</v>
      </c>
      <c r="E30" s="828"/>
      <c r="F30" s="327" t="s">
        <v>443</v>
      </c>
      <c r="G30" s="168" t="s">
        <v>444</v>
      </c>
      <c r="H30" s="340"/>
      <c r="I30" s="98"/>
      <c r="K30" s="126"/>
      <c r="L30" s="126"/>
    </row>
    <row r="31" spans="2:9" s="126" customFormat="1" ht="33.75" customHeight="1">
      <c r="B31" s="96"/>
      <c r="C31" s="791"/>
      <c r="D31" s="328" t="s">
        <v>408</v>
      </c>
      <c r="E31" s="328" t="s">
        <v>282</v>
      </c>
      <c r="F31" s="170" t="s">
        <v>432</v>
      </c>
      <c r="G31" s="328" t="s">
        <v>320</v>
      </c>
      <c r="H31" s="341"/>
      <c r="I31" s="98"/>
    </row>
    <row r="32" spans="2:9" s="126" customFormat="1" ht="15">
      <c r="B32" s="309"/>
      <c r="C32" s="173" t="str">
        <f>'Onsite Transportation'!C25</f>
        <v>Ethanol - Onsite transportation, 2-stroke</v>
      </c>
      <c r="D32" s="263">
        <f>'Onsite Transportation'!D25</f>
        <v>0</v>
      </c>
      <c r="E32" s="263" t="str">
        <f>'Onsite Transportation'!E25</f>
        <v>kL</v>
      </c>
      <c r="F32" s="329">
        <f>'Emission Factors'!E19</f>
        <v>1508</v>
      </c>
      <c r="G32" s="430">
        <f>F32*D32/1000</f>
        <v>0</v>
      </c>
      <c r="H32" s="339"/>
      <c r="I32" s="98"/>
    </row>
    <row r="33" spans="2:9" s="126" customFormat="1" ht="18" customHeight="1">
      <c r="B33" s="96"/>
      <c r="C33" s="173" t="str">
        <f>'Onsite Transportation'!C26</f>
        <v>Ethanol - Onsite transportation, 4-stroke</v>
      </c>
      <c r="D33" s="263">
        <f>'Onsite Transportation'!D26</f>
        <v>0</v>
      </c>
      <c r="E33" s="263" t="str">
        <f>'Onsite Transportation'!E26</f>
        <v>kL</v>
      </c>
      <c r="F33" s="329">
        <f>'Emission Factors'!E20</f>
        <v>1508</v>
      </c>
      <c r="G33" s="430">
        <f>F33*D33/1000</f>
        <v>0</v>
      </c>
      <c r="H33" s="339"/>
      <c r="I33" s="98"/>
    </row>
    <row r="34" spans="2:9" s="126" customFormat="1" ht="18" customHeight="1">
      <c r="B34" s="338"/>
      <c r="C34" s="173" t="str">
        <f>'Onsite Transportation'!C28</f>
        <v>Biodiesel - Onsite transportation, &lt; 19 kW</v>
      </c>
      <c r="D34" s="263">
        <f>'Onsite Transportation'!D28</f>
        <v>0</v>
      </c>
      <c r="E34" s="263" t="str">
        <f>'Onsite Transportation'!E28</f>
        <v>kL</v>
      </c>
      <c r="F34" s="329">
        <f>'Emission Factors'!E23</f>
        <v>2472</v>
      </c>
      <c r="G34" s="430">
        <f>F34*D34/1000</f>
        <v>0</v>
      </c>
      <c r="H34" s="339"/>
      <c r="I34" s="98"/>
    </row>
    <row r="35" spans="2:9" s="126" customFormat="1" ht="18" customHeight="1">
      <c r="B35" s="96"/>
      <c r="C35" s="173" t="str">
        <f>'Onsite Transportation'!C29</f>
        <v>Biodiesel - Onsite transportation, &gt;= 19 kW, Tier 1-3</v>
      </c>
      <c r="D35" s="263">
        <f>'Onsite Transportation'!D29</f>
        <v>0</v>
      </c>
      <c r="E35" s="263" t="str">
        <f>'Onsite Transportation'!E29</f>
        <v>kL</v>
      </c>
      <c r="F35" s="329">
        <f>'Emission Factors'!E24</f>
        <v>2472</v>
      </c>
      <c r="G35" s="430">
        <f>F35*D35/1000</f>
        <v>0</v>
      </c>
      <c r="H35" s="339"/>
      <c r="I35" s="98"/>
    </row>
    <row r="36" spans="2:9" s="126" customFormat="1" ht="18" customHeight="1">
      <c r="B36" s="96"/>
      <c r="C36" s="173" t="str">
        <f>'Onsite Transportation'!C30</f>
        <v>Biodiesel - Onsite transportation, &gt;= 19 kW, Tier 1-4</v>
      </c>
      <c r="D36" s="263">
        <f>'Onsite Transportation'!D30</f>
        <v>0</v>
      </c>
      <c r="E36" s="263" t="str">
        <f>'Onsite Transportation'!E30</f>
        <v>kL</v>
      </c>
      <c r="F36" s="329">
        <f>'Emission Factors'!E25</f>
        <v>2472</v>
      </c>
      <c r="G36" s="430">
        <f>F36*D36/1000</f>
        <v>0</v>
      </c>
      <c r="H36" s="339"/>
      <c r="I36" s="98"/>
    </row>
    <row r="37" spans="2:9" s="126" customFormat="1" ht="18" customHeight="1">
      <c r="B37" s="96"/>
      <c r="C37" s="108"/>
      <c r="D37" s="143"/>
      <c r="E37" s="143"/>
      <c r="F37" s="108"/>
      <c r="G37" s="336"/>
      <c r="H37" s="336"/>
      <c r="I37" s="98"/>
    </row>
    <row r="38" spans="2:9" s="126" customFormat="1" ht="18" customHeight="1">
      <c r="B38" s="96"/>
      <c r="C38" s="829" t="s">
        <v>448</v>
      </c>
      <c r="D38" s="830"/>
      <c r="E38" s="830"/>
      <c r="F38" s="831"/>
      <c r="G38" s="421">
        <f>SUM(G32:G36)</f>
        <v>0</v>
      </c>
      <c r="H38" s="345" t="s">
        <v>321</v>
      </c>
      <c r="I38" s="98"/>
    </row>
    <row r="39" spans="1:9" s="119" customFormat="1" ht="18" customHeight="1" thickBot="1">
      <c r="A39" s="126"/>
      <c r="B39" s="145"/>
      <c r="C39" s="146"/>
      <c r="D39" s="342"/>
      <c r="E39" s="342"/>
      <c r="F39" s="343"/>
      <c r="G39" s="344"/>
      <c r="H39" s="100"/>
      <c r="I39" s="102"/>
    </row>
    <row r="40" ht="14.25" thickTop="1"/>
  </sheetData>
  <sheetProtection password="CD08" sheet="1"/>
  <mergeCells count="11">
    <mergeCell ref="C25:F25"/>
    <mergeCell ref="C30:C31"/>
    <mergeCell ref="B2:H2"/>
    <mergeCell ref="D30:E30"/>
    <mergeCell ref="B6:C6"/>
    <mergeCell ref="C38:F38"/>
    <mergeCell ref="B5:C5"/>
    <mergeCell ref="C24:F24"/>
    <mergeCell ref="C11:C12"/>
    <mergeCell ref="D11:E11"/>
    <mergeCell ref="C23:F23"/>
  </mergeCells>
  <printOptions horizontalCentered="1"/>
  <pageMargins left="0.75" right="0.75" top="1" bottom="1" header="0.5" footer="0.5"/>
  <pageSetup fitToHeight="3" horizontalDpi="600" verticalDpi="600" orientation="landscape" scale="79" r:id="rId1"/>
  <headerFooter alignWithMargins="0">
    <oddHeader>&amp;L&amp;D&amp;R&amp;F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Barry Malmberg</cp:lastModifiedBy>
  <cp:lastPrinted>2008-07-10T23:16:31Z</cp:lastPrinted>
  <dcterms:created xsi:type="dcterms:W3CDTF">2000-06-30T18:41:26Z</dcterms:created>
  <dcterms:modified xsi:type="dcterms:W3CDTF">2022-06-17T17:01:56Z</dcterms:modified>
  <cp:category/>
  <cp:version/>
  <cp:contentType/>
  <cp:contentStatus/>
</cp:coreProperties>
</file>